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615" windowWidth="15480" windowHeight="6660" tabRatio="534" activeTab="3"/>
  </bookViews>
  <sheets>
    <sheet name="Consumption" sheetId="1" r:id="rId1"/>
    <sheet name="Prod Elec" sheetId="2" r:id="rId2"/>
    <sheet name="Balance - CO2" sheetId="3" r:id="rId3"/>
    <sheet name="Country Stats" sheetId="4" r:id="rId4"/>
    <sheet name="Parameters" sheetId="5" r:id="rId5"/>
    <sheet name="Countries Datas" sheetId="6" r:id="rId6"/>
    <sheet name="Accuracy Test" sheetId="7" r:id="rId7"/>
  </sheets>
  <definedNames/>
  <calcPr fullCalcOnLoad="1"/>
</workbook>
</file>

<file path=xl/comments2.xml><?xml version="1.0" encoding="utf-8"?>
<comments xmlns="http://schemas.openxmlformats.org/spreadsheetml/2006/main">
  <authors>
    <author>UCLM</author>
  </authors>
  <commentList>
    <comment ref="E6" authorId="0">
      <text>
        <r>
          <rPr>
            <sz val="8"/>
            <rFont val="Tahoma"/>
            <family val="0"/>
          </rPr>
          <t>Default values fit the real 2003 percentages.
Just write over the formulas to define your own production.</t>
        </r>
      </text>
    </comment>
  </commentList>
</comments>
</file>

<file path=xl/comments5.xml><?xml version="1.0" encoding="utf-8"?>
<comments xmlns="http://schemas.openxmlformats.org/spreadsheetml/2006/main">
  <authors>
    <author>AntoineClaude.Bret</author>
  </authors>
  <commentList>
    <comment ref="F5" authorId="0">
      <text>
        <r>
          <rPr>
            <sz val="8"/>
            <rFont val="Tahoma"/>
            <family val="2"/>
          </rPr>
          <t>If solar cells or wind machines produce only, say 2%, of the electricity, there is no need to store it.
But if you rely on one of them at 100%, you need to store all the eelctricity produced if you want to get some when there's no sun (or no wind).
It means that the stored part of the solar (or wind) generated electricity goes from 0% to 100% between a critical percentage  and 100%.
To stay simple, we have the stored part varying linearly between the critical percentage and 100%.
A recent report of the French Académie des Sciences, "Perspectives Energétiques, 2005" talks about a critical % of 10 to 15%.
Our default value is 20%.</t>
        </r>
      </text>
    </comment>
  </commentList>
</comments>
</file>

<file path=xl/comments7.xml><?xml version="1.0" encoding="utf-8"?>
<comments xmlns="http://schemas.openxmlformats.org/spreadsheetml/2006/main">
  <authors>
    <author>UCLM</author>
  </authors>
  <commentList>
    <comment ref="A8" authorId="0">
      <text>
        <r>
          <rPr>
            <sz val="8"/>
            <rFont val="Tahoma"/>
            <family val="0"/>
          </rPr>
          <t>See "Countries Datas" for Sources.</t>
        </r>
      </text>
    </comment>
  </commentList>
</comments>
</file>

<file path=xl/sharedStrings.xml><?xml version="1.0" encoding="utf-8"?>
<sst xmlns="http://schemas.openxmlformats.org/spreadsheetml/2006/main" count="251" uniqueCount="179">
  <si>
    <t>Diesel</t>
  </si>
  <si>
    <t>GWh</t>
  </si>
  <si>
    <t>kTep</t>
  </si>
  <si>
    <t>GWh/km2/año</t>
  </si>
  <si>
    <t>TWh/año</t>
  </si>
  <si>
    <t>GWh/km/año</t>
  </si>
  <si>
    <t>Transfer -&gt; Bio</t>
  </si>
  <si>
    <t>Transfer -&gt; Bio carb.</t>
  </si>
  <si>
    <t>Transfer -&gt; Solar term</t>
  </si>
  <si>
    <t>+</t>
  </si>
  <si>
    <t>Total:</t>
  </si>
  <si>
    <t>Hidr.</t>
  </si>
  <si>
    <t>Transfer -&gt; Elec.</t>
  </si>
  <si>
    <t>Transfer -&gt; Elec. H2</t>
  </si>
  <si>
    <t>ELEC</t>
  </si>
  <si>
    <t>MAX:</t>
  </si>
  <si>
    <t>MWh</t>
  </si>
  <si>
    <t>km2</t>
  </si>
  <si>
    <t>km</t>
  </si>
  <si>
    <t>%  2003*</t>
  </si>
  <si>
    <t>-</t>
  </si>
  <si>
    <t>Prod.</t>
  </si>
  <si>
    <t>T/GWh*</t>
  </si>
  <si>
    <t>Total</t>
  </si>
  <si>
    <t>Coef</t>
  </si>
  <si>
    <t>Pre-conv.**</t>
  </si>
  <si>
    <t>Transports (kTep)</t>
  </si>
  <si>
    <t>MWh geoThermique</t>
  </si>
  <si>
    <t>MWh Nucléaire</t>
  </si>
  <si>
    <t>capa. max.</t>
  </si>
  <si>
    <t>*Source:  IEA "Integrating Energy and Environmental Goals", 2003</t>
  </si>
  <si>
    <t xml:space="preserve">Objetif EU 2010: </t>
  </si>
  <si>
    <t>France</t>
  </si>
  <si>
    <t>USA</t>
  </si>
  <si>
    <t>Spain</t>
  </si>
  <si>
    <t>Denmark</t>
  </si>
  <si>
    <t>India</t>
  </si>
  <si>
    <t>Canada</t>
  </si>
  <si>
    <t>UK</t>
  </si>
  <si>
    <t>Germany</t>
  </si>
  <si>
    <t>Belgium</t>
  </si>
  <si>
    <t>Switzerland</t>
  </si>
  <si>
    <t>Italy</t>
  </si>
  <si>
    <t>Sweden</t>
  </si>
  <si>
    <t>Austria</t>
  </si>
  <si>
    <t>Greece</t>
  </si>
  <si>
    <t>Australia</t>
  </si>
  <si>
    <t>Industry (kTep)</t>
  </si>
  <si>
    <t>Carbon</t>
  </si>
  <si>
    <t>Oil</t>
  </si>
  <si>
    <t>Gas</t>
  </si>
  <si>
    <t>Bio. Wood</t>
  </si>
  <si>
    <t>Electricity</t>
  </si>
  <si>
    <t>Surface</t>
  </si>
  <si>
    <t>Km of Highways</t>
  </si>
  <si>
    <t>%Elec Carbon</t>
  </si>
  <si>
    <t>%Elec gas</t>
  </si>
  <si>
    <t>%Elec Oil</t>
  </si>
  <si>
    <t>%Elec Nuclear</t>
  </si>
  <si>
    <t>%Elec Hydro</t>
  </si>
  <si>
    <t>%Elec Wind</t>
  </si>
  <si>
    <t>%Elec Solar</t>
  </si>
  <si>
    <t>%Elec Wood</t>
  </si>
  <si>
    <t>Surface (km2)</t>
  </si>
  <si>
    <t>Other datas</t>
  </si>
  <si>
    <t>Country:</t>
  </si>
  <si>
    <t>Solar</t>
  </si>
  <si>
    <t>Wind</t>
  </si>
  <si>
    <t>*Network losses are neglected for the more decentralized Wind and Solar</t>
  </si>
  <si>
    <t>Increase</t>
  </si>
  <si>
    <t>Years</t>
  </si>
  <si>
    <t>Rate</t>
  </si>
  <si>
    <t>Savings</t>
  </si>
  <si>
    <t>Electricity production</t>
  </si>
  <si>
    <t>Other Parameters</t>
  </si>
  <si>
    <t>Network losses</t>
  </si>
  <si>
    <t>Free parameters are in red. Everything else is calculated.</t>
  </si>
  <si>
    <t>Jet Fuel</t>
  </si>
  <si>
    <t>Gas Oil</t>
  </si>
  <si>
    <t>Natural Gas</t>
  </si>
  <si>
    <t>Renewables</t>
  </si>
  <si>
    <t>Missing</t>
  </si>
  <si>
    <t>Wood</t>
  </si>
  <si>
    <t>BioFuel</t>
  </si>
  <si>
    <t>Solar cells</t>
  </si>
  <si>
    <t>Nuclear</t>
  </si>
  <si>
    <t>Bio (Wood)</t>
  </si>
  <si>
    <t>Bio Fuel</t>
  </si>
  <si>
    <t>Solar Thermal</t>
  </si>
  <si>
    <t>Extract, or buy</t>
  </si>
  <si>
    <t>Nuclear Plants</t>
  </si>
  <si>
    <t>Fossil Plants</t>
  </si>
  <si>
    <t>km Wind machines</t>
  </si>
  <si>
    <t>km2 cells</t>
  </si>
  <si>
    <t>Surface wood</t>
  </si>
  <si>
    <t>of Highways</t>
  </si>
  <si>
    <t>Earth ecuator</t>
  </si>
  <si>
    <t>Biomass Wood</t>
  </si>
  <si>
    <t>Solar thermal</t>
  </si>
  <si>
    <t>Production required by the scenario:</t>
  </si>
  <si>
    <t>Production kind</t>
  </si>
  <si>
    <t>Hydro. Max capacity:</t>
  </si>
  <si>
    <t>BioMass (Wood)</t>
  </si>
  <si>
    <t>Net. Losses*</t>
  </si>
  <si>
    <t>Prod. Consump.</t>
  </si>
  <si>
    <t>Total generation</t>
  </si>
  <si>
    <t>% of this scenario</t>
  </si>
  <si>
    <t>Requirements</t>
  </si>
  <si>
    <t>Total of surfaces required for…</t>
  </si>
  <si>
    <t>Typical thermal plant</t>
  </si>
  <si>
    <t>Typical nuclear plant</t>
  </si>
  <si>
    <t>Max Hydro capacity</t>
  </si>
  <si>
    <t>1 tonne oil eq. Oil  (Toe) =</t>
  </si>
  <si>
    <t>Efficiency Elec - H2 - Elec.</t>
  </si>
  <si>
    <t>Error</t>
  </si>
  <si>
    <t>Select Country =&gt;</t>
  </si>
  <si>
    <t>Population (1000 per.)</t>
  </si>
  <si>
    <t>China</t>
  </si>
  <si>
    <t>Japan</t>
  </si>
  <si>
    <t>Services &amp; Households (kTep)</t>
  </si>
  <si>
    <t>Motor spirit</t>
  </si>
  <si>
    <t>Biomasse wood</t>
  </si>
  <si>
    <t>Services&amp;Households</t>
  </si>
  <si>
    <t>Transports</t>
  </si>
  <si>
    <t>Parameters forelectricity production</t>
  </si>
  <si>
    <t>Max Hydro Capacity (TWh/y)</t>
  </si>
  <si>
    <t>Storage coefficient for solar or wind</t>
  </si>
  <si>
    <t>Efficiency biofuel</t>
  </si>
  <si>
    <t>Efficiency biomass Wood</t>
  </si>
  <si>
    <t>Storage</t>
  </si>
  <si>
    <t>km2 of wood</t>
  </si>
  <si>
    <t>total harvests</t>
  </si>
  <si>
    <t>2. Produce your electricity...</t>
  </si>
  <si>
    <t>1. Define your consumption…</t>
  </si>
  <si>
    <t>3. See what you need and emit.</t>
  </si>
  <si>
    <t>Emissions per GDP</t>
  </si>
  <si>
    <t>km2 of fields</t>
  </si>
  <si>
    <t>km2 of collectors</t>
  </si>
  <si>
    <t>Ireland</t>
  </si>
  <si>
    <t>%Elec Geohermal</t>
  </si>
  <si>
    <t>Geothermal</t>
  </si>
  <si>
    <t>Total agricultural areas (km2)</t>
  </si>
  <si>
    <t>Emissions per capita</t>
  </si>
  <si>
    <t>T Eq. CO2 / M€</t>
  </si>
  <si>
    <t>T Eq. CO2 / ha</t>
  </si>
  <si>
    <t>Cultures (without wood)</t>
  </si>
  <si>
    <t>Sources</t>
  </si>
  <si>
    <t>Calculated</t>
  </si>
  <si>
    <t>Greenhouse gases emissions (MT Eq. CO2)</t>
  </si>
  <si>
    <t>Here are the results for 11 EU countries.</t>
  </si>
  <si>
    <t>Data 2003</t>
  </si>
  <si>
    <t>Datas</t>
  </si>
  <si>
    <t>Carbon for electricity: average with 50% of Combined Cicle (370 T CO2/GWh).</t>
  </si>
  <si>
    <t>EU countries:EuroStat, Energy: Yearly statistics 2003, Edition 2005. European Environment Agency, Annual European Community greenhouse gas inventory 1990–2003 and inventory report 2005.</t>
  </si>
  <si>
    <t>Consumption for elec. generation</t>
  </si>
  <si>
    <t>Non EU Countries: IEA, OECD</t>
  </si>
  <si>
    <t>Wooded areas (not forest - km2)</t>
  </si>
  <si>
    <t>CO2 emissions 2003 (MT CO2) - [2]</t>
  </si>
  <si>
    <t>Gross Dom Product 2003 [3]</t>
  </si>
  <si>
    <t>[2]: Key World Energy Statistics - IEA 2005</t>
  </si>
  <si>
    <t>[1] United Nations Climate Change - "Key GHG data".</t>
  </si>
  <si>
    <t>Errors for other countries</t>
  </si>
  <si>
    <t>% of electricity production</t>
  </si>
  <si>
    <t>Critical %</t>
  </si>
  <si>
    <t>Solar photovoltaical</t>
  </si>
  <si>
    <t>GHG emissions 2003 (MT Eq. CO2) - [1]</t>
  </si>
  <si>
    <t>GHG Emissions</t>
  </si>
  <si>
    <t>MT Eq. CO2</t>
  </si>
  <si>
    <t>Coef of GHG emissions out of electricity prod.</t>
  </si>
  <si>
    <t>The data recorded in the "Countries Datas" (4057 MT) dates from 1994. A 6.5% yearly increase yields almost exactly the calculated result in 2003 (7119 MT).</t>
  </si>
  <si>
    <t>One way to evaluate the accuracy of the spreadsheet is to compare the calculated Greenhouse Gases emissions with the known datas.</t>
  </si>
  <si>
    <t>Total agricultural areas</t>
  </si>
  <si>
    <t>Wooded areas (not forest)</t>
  </si>
  <si>
    <t>Highways</t>
  </si>
  <si>
    <t>[3]: Million US dollars, current prices and PPPs, from "OECD Factbook 2006: Economic, Environmental and Social Statistics" - ISBN 92-64-03561-3. For India and China [1], datas from 1994.</t>
  </si>
  <si>
    <t>Gross Dom Product (M $ US)</t>
  </si>
  <si>
    <t>**Coef of emissions out of electricity production (see Parameters)</t>
  </si>
  <si>
    <t>WARNING: Don't erase lines here (unless you know how to re-program the Excel formulas which are looking for values in the Database)</t>
  </si>
  <si>
    <t>4. Use this place to compute any specific stat you like…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</si>
</sst>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 numFmtId="167" formatCode="0.E+00"/>
    <numFmt numFmtId="168" formatCode="0.0%"/>
    <numFmt numFmtId="169" formatCode="0.00000"/>
    <numFmt numFmtId="170" formatCode="0.0000000"/>
    <numFmt numFmtId="171" formatCode="0.000000"/>
    <numFmt numFmtId="172" formatCode="#,##0.0"/>
    <numFmt numFmtId="173" formatCode="[$-40A]dddd\,\ dd&quot; de &quot;mmmm&quot; de &quot;yyyy"/>
    <numFmt numFmtId="174" formatCode="0.000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_-* #,##0.0\ _€_-;\-* #,##0.0\ _€_-;_-* &quot;-&quot;??\ _€_-;_-@_-"/>
    <numFmt numFmtId="181" formatCode="_-* #,##0\ _€_-;\-* #,##0\ _€_-;_-* &quot;-&quot;??\ _€_-;_-@_-"/>
    <numFmt numFmtId="182" formatCode="#,##0.000"/>
  </numFmts>
  <fonts count="36">
    <font>
      <sz val="10"/>
      <name val="Arial"/>
      <family val="0"/>
    </font>
    <font>
      <b/>
      <sz val="10"/>
      <name val="Arial"/>
      <family val="2"/>
    </font>
    <font>
      <sz val="8"/>
      <name val="Arial"/>
      <family val="0"/>
    </font>
    <font>
      <sz val="10"/>
      <color indexed="10"/>
      <name val="Arial"/>
      <family val="0"/>
    </font>
    <font>
      <b/>
      <sz val="10"/>
      <color indexed="10"/>
      <name val="Arial"/>
      <family val="2"/>
    </font>
    <font>
      <b/>
      <sz val="14"/>
      <name val="Arial"/>
      <family val="2"/>
    </font>
    <font>
      <b/>
      <sz val="10"/>
      <color indexed="18"/>
      <name val="Arial"/>
      <family val="2"/>
    </font>
    <font>
      <b/>
      <sz val="10"/>
      <color indexed="9"/>
      <name val="Arial"/>
      <family val="2"/>
    </font>
    <font>
      <sz val="10"/>
      <color indexed="11"/>
      <name val="Arial"/>
      <family val="0"/>
    </font>
    <font>
      <i/>
      <sz val="10"/>
      <name val="Arial"/>
      <family val="2"/>
    </font>
    <font>
      <sz val="8"/>
      <color indexed="18"/>
      <name val="Arial"/>
      <family val="0"/>
    </font>
    <font>
      <i/>
      <sz val="8"/>
      <color indexed="18"/>
      <name val="Arial"/>
      <family val="2"/>
    </font>
    <font>
      <u val="single"/>
      <sz val="10"/>
      <color indexed="12"/>
      <name val="Arial"/>
      <family val="0"/>
    </font>
    <font>
      <u val="single"/>
      <sz val="10"/>
      <color indexed="36"/>
      <name val="Arial"/>
      <family val="0"/>
    </font>
    <font>
      <b/>
      <sz val="8"/>
      <name val="Arial"/>
      <family val="2"/>
    </font>
    <font>
      <b/>
      <sz val="8"/>
      <color indexed="18"/>
      <name val="Arial"/>
      <family val="2"/>
    </font>
    <font>
      <i/>
      <sz val="10"/>
      <color indexed="10"/>
      <name val="Arial"/>
      <family val="2"/>
    </font>
    <font>
      <b/>
      <u val="single"/>
      <sz val="10"/>
      <name val="Arial"/>
      <family val="2"/>
    </font>
    <font>
      <sz val="8"/>
      <color indexed="17"/>
      <name val="Arial"/>
      <family val="2"/>
    </font>
    <font>
      <b/>
      <sz val="8"/>
      <color indexed="17"/>
      <name val="Arial"/>
      <family val="2"/>
    </font>
    <font>
      <i/>
      <sz val="8"/>
      <color indexed="17"/>
      <name val="Arial"/>
      <family val="2"/>
    </font>
    <font>
      <i/>
      <sz val="8"/>
      <name val="Arial"/>
      <family val="2"/>
    </font>
    <font>
      <sz val="10"/>
      <color indexed="18"/>
      <name val="Arial"/>
      <family val="2"/>
    </font>
    <font>
      <sz val="8"/>
      <color indexed="10"/>
      <name val="Arial"/>
      <family val="0"/>
    </font>
    <font>
      <b/>
      <i/>
      <sz val="10"/>
      <name val="Arial"/>
      <family val="2"/>
    </font>
    <font>
      <i/>
      <sz val="10"/>
      <color indexed="11"/>
      <name val="Arial"/>
      <family val="2"/>
    </font>
    <font>
      <i/>
      <sz val="10"/>
      <color indexed="18"/>
      <name val="Arial"/>
      <family val="2"/>
    </font>
    <font>
      <b/>
      <sz val="14"/>
      <color indexed="9"/>
      <name val="Arial"/>
      <family val="2"/>
    </font>
    <font>
      <b/>
      <sz val="14"/>
      <color indexed="18"/>
      <name val="Arial"/>
      <family val="2"/>
    </font>
    <font>
      <sz val="8"/>
      <name val="Tahoma"/>
      <family val="2"/>
    </font>
    <font>
      <b/>
      <sz val="8"/>
      <color indexed="10"/>
      <name val="Arial"/>
      <family val="2"/>
    </font>
    <font>
      <b/>
      <sz val="14"/>
      <color indexed="10"/>
      <name val="Arial"/>
      <family val="2"/>
    </font>
    <font>
      <b/>
      <i/>
      <sz val="8"/>
      <name val="Arial"/>
      <family val="2"/>
    </font>
    <font>
      <sz val="12"/>
      <name val="Arial"/>
      <family val="2"/>
    </font>
    <font>
      <b/>
      <sz val="8"/>
      <color indexed="12"/>
      <name val="Arial"/>
      <family val="2"/>
    </font>
    <font>
      <b/>
      <i/>
      <sz val="8"/>
      <color indexed="12"/>
      <name val="Arial"/>
      <family val="2"/>
    </font>
  </fonts>
  <fills count="10">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style="thick">
        <color indexed="57"/>
      </left>
      <right>
        <color indexed="63"/>
      </right>
      <top>
        <color indexed="63"/>
      </top>
      <bottom>
        <color indexed="63"/>
      </bottom>
    </border>
    <border>
      <left style="thick">
        <color indexed="17"/>
      </left>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1" fillId="0" borderId="0" xfId="0" applyFont="1" applyAlignment="1">
      <alignment/>
    </xf>
    <xf numFmtId="0" fontId="0" fillId="0" borderId="1" xfId="0" applyBorder="1" applyAlignment="1">
      <alignment/>
    </xf>
    <xf numFmtId="3" fontId="0" fillId="2" borderId="0" xfId="0" applyNumberFormat="1" applyFill="1" applyAlignment="1">
      <alignment/>
    </xf>
    <xf numFmtId="3" fontId="0" fillId="2" borderId="1" xfId="0" applyNumberFormat="1" applyFill="1" applyBorder="1" applyAlignment="1">
      <alignment/>
    </xf>
    <xf numFmtId="3" fontId="0" fillId="2" borderId="0" xfId="0" applyNumberFormat="1" applyFill="1" applyBorder="1" applyAlignment="1">
      <alignment/>
    </xf>
    <xf numFmtId="3" fontId="0" fillId="3" borderId="0" xfId="0" applyNumberFormat="1" applyFill="1" applyBorder="1" applyAlignment="1">
      <alignment/>
    </xf>
    <xf numFmtId="0" fontId="0" fillId="4" borderId="0" xfId="0" applyFill="1" applyBorder="1" applyAlignment="1">
      <alignment/>
    </xf>
    <xf numFmtId="0" fontId="0" fillId="3" borderId="0" xfId="0" applyFill="1" applyBorder="1" applyAlignment="1">
      <alignment/>
    </xf>
    <xf numFmtId="0" fontId="1" fillId="0" borderId="0" xfId="0" applyFont="1" applyAlignment="1">
      <alignment horizontal="center"/>
    </xf>
    <xf numFmtId="0" fontId="0" fillId="0" borderId="0" xfId="0" applyBorder="1" applyAlignment="1">
      <alignment/>
    </xf>
    <xf numFmtId="0" fontId="1" fillId="0" borderId="0" xfId="0" applyFont="1" applyBorder="1" applyAlignment="1">
      <alignment/>
    </xf>
    <xf numFmtId="0" fontId="0" fillId="5" borderId="0" xfId="0" applyFill="1" applyBorder="1" applyAlignment="1">
      <alignment/>
    </xf>
    <xf numFmtId="3" fontId="0" fillId="5" borderId="0" xfId="0" applyNumberFormat="1" applyFill="1" applyBorder="1" applyAlignment="1">
      <alignment/>
    </xf>
    <xf numFmtId="0" fontId="0" fillId="6" borderId="0" xfId="0" applyFill="1" applyBorder="1" applyAlignment="1">
      <alignment/>
    </xf>
    <xf numFmtId="3" fontId="0" fillId="6" borderId="0" xfId="0" applyNumberFormat="1" applyFill="1" applyBorder="1" applyAlignment="1">
      <alignment/>
    </xf>
    <xf numFmtId="3" fontId="0" fillId="4" borderId="0" xfId="0" applyNumberFormat="1" applyFill="1" applyBorder="1" applyAlignment="1">
      <alignment/>
    </xf>
    <xf numFmtId="0" fontId="0" fillId="2" borderId="0" xfId="0" applyFill="1" applyBorder="1" applyAlignment="1">
      <alignment/>
    </xf>
    <xf numFmtId="0" fontId="0" fillId="0" borderId="0" xfId="0" applyFill="1" applyAlignment="1">
      <alignment/>
    </xf>
    <xf numFmtId="3" fontId="0" fillId="0" borderId="0" xfId="0" applyNumberFormat="1" applyFill="1" applyBorder="1" applyAlignment="1">
      <alignment/>
    </xf>
    <xf numFmtId="0" fontId="0" fillId="0" borderId="0" xfId="0" applyFill="1" applyBorder="1" applyAlignment="1">
      <alignment/>
    </xf>
    <xf numFmtId="0" fontId="5" fillId="0" borderId="0" xfId="0" applyFont="1" applyBorder="1" applyAlignment="1">
      <alignment/>
    </xf>
    <xf numFmtId="0" fontId="8" fillId="0" borderId="0" xfId="0" applyFont="1" applyFill="1" applyBorder="1" applyAlignment="1">
      <alignment/>
    </xf>
    <xf numFmtId="3" fontId="1" fillId="0" borderId="1" xfId="0" applyNumberFormat="1" applyFont="1" applyBorder="1" applyAlignment="1">
      <alignment horizontal="right"/>
    </xf>
    <xf numFmtId="3" fontId="7" fillId="7" borderId="1" xfId="0" applyNumberFormat="1" applyFont="1" applyFill="1" applyBorder="1" applyAlignment="1">
      <alignment horizontal="right"/>
    </xf>
    <xf numFmtId="0" fontId="9" fillId="0" borderId="0" xfId="0" applyFont="1" applyBorder="1" applyAlignment="1">
      <alignment horizontal="right"/>
    </xf>
    <xf numFmtId="3" fontId="9" fillId="0" borderId="0" xfId="0" applyNumberFormat="1" applyFont="1" applyBorder="1" applyAlignment="1">
      <alignment/>
    </xf>
    <xf numFmtId="0" fontId="1" fillId="5" borderId="0" xfId="0" applyFont="1" applyFill="1" applyBorder="1" applyAlignment="1">
      <alignment/>
    </xf>
    <xf numFmtId="0" fontId="1" fillId="6" borderId="0" xfId="0" applyFont="1" applyFill="1" applyBorder="1" applyAlignment="1">
      <alignment/>
    </xf>
    <xf numFmtId="0" fontId="1" fillId="3" borderId="0" xfId="0" applyFont="1" applyFill="1" applyBorder="1" applyAlignment="1">
      <alignment/>
    </xf>
    <xf numFmtId="0" fontId="1" fillId="4" borderId="0" xfId="0" applyFont="1" applyFill="1" applyBorder="1" applyAlignment="1">
      <alignment/>
    </xf>
    <xf numFmtId="0" fontId="2" fillId="2" borderId="0" xfId="0" applyFont="1" applyFill="1" applyAlignment="1">
      <alignment horizontal="right"/>
    </xf>
    <xf numFmtId="9" fontId="10" fillId="0" borderId="0" xfId="21" applyFont="1" applyFill="1" applyAlignment="1">
      <alignment/>
    </xf>
    <xf numFmtId="3" fontId="0" fillId="5" borderId="0" xfId="0" applyNumberFormat="1" applyFont="1" applyFill="1" applyAlignment="1">
      <alignment/>
    </xf>
    <xf numFmtId="3" fontId="0" fillId="6" borderId="0" xfId="0" applyNumberFormat="1" applyFont="1" applyFill="1" applyAlignment="1">
      <alignment/>
    </xf>
    <xf numFmtId="3" fontId="0" fillId="3" borderId="0" xfId="0" applyNumberFormat="1" applyFont="1" applyFill="1" applyAlignment="1">
      <alignment/>
    </xf>
    <xf numFmtId="3" fontId="0" fillId="4" borderId="0" xfId="0" applyNumberFormat="1" applyFont="1" applyFill="1" applyAlignment="1">
      <alignment/>
    </xf>
    <xf numFmtId="0" fontId="1" fillId="0" borderId="0" xfId="0" applyFont="1" applyBorder="1" applyAlignment="1">
      <alignment horizontal="center"/>
    </xf>
    <xf numFmtId="0" fontId="0" fillId="0" borderId="0" xfId="0" applyFont="1" applyFill="1" applyBorder="1" applyAlignment="1">
      <alignment/>
    </xf>
    <xf numFmtId="0" fontId="2" fillId="0" borderId="0" xfId="0" applyFont="1" applyFill="1" applyAlignment="1">
      <alignment horizontal="right"/>
    </xf>
    <xf numFmtId="0" fontId="1"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5" borderId="0" xfId="0" applyNumberFormat="1" applyFont="1" applyFill="1" applyBorder="1" applyAlignment="1">
      <alignment/>
    </xf>
    <xf numFmtId="3" fontId="0" fillId="6" borderId="0" xfId="0" applyNumberFormat="1" applyFont="1" applyFill="1" applyBorder="1" applyAlignment="1">
      <alignment/>
    </xf>
    <xf numFmtId="3" fontId="0" fillId="3" borderId="0" xfId="0" applyNumberFormat="1" applyFont="1" applyFill="1" applyBorder="1" applyAlignment="1">
      <alignment/>
    </xf>
    <xf numFmtId="3" fontId="0" fillId="4" borderId="0" xfId="0" applyNumberFormat="1" applyFont="1" applyFill="1" applyBorder="1" applyAlignment="1">
      <alignment/>
    </xf>
    <xf numFmtId="0" fontId="11" fillId="0" borderId="0" xfId="0" applyFont="1" applyAlignment="1">
      <alignment horizontal="left"/>
    </xf>
    <xf numFmtId="0" fontId="2" fillId="0" borderId="0" xfId="0" applyFont="1" applyAlignment="1">
      <alignment/>
    </xf>
    <xf numFmtId="0" fontId="14" fillId="0" borderId="1" xfId="0" applyFont="1" applyBorder="1" applyAlignment="1">
      <alignment/>
    </xf>
    <xf numFmtId="0" fontId="2" fillId="0" borderId="1" xfId="0" applyFont="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 fontId="0" fillId="4" borderId="1" xfId="0" applyNumberFormat="1" applyFont="1" applyFill="1" applyBorder="1" applyAlignment="1">
      <alignment/>
    </xf>
    <xf numFmtId="3" fontId="0" fillId="4" borderId="1" xfId="0" applyNumberFormat="1" applyFont="1" applyFill="1" applyBorder="1" applyAlignment="1">
      <alignment/>
    </xf>
    <xf numFmtId="3" fontId="0" fillId="0" borderId="0" xfId="0" applyNumberFormat="1" applyBorder="1" applyAlignment="1">
      <alignment/>
    </xf>
    <xf numFmtId="9" fontId="4" fillId="8" borderId="0" xfId="21" applyFont="1" applyFill="1" applyBorder="1" applyAlignment="1">
      <alignment/>
    </xf>
    <xf numFmtId="3" fontId="0" fillId="8" borderId="0" xfId="0" applyNumberFormat="1" applyFill="1" applyBorder="1" applyAlignment="1">
      <alignment/>
    </xf>
    <xf numFmtId="0" fontId="0" fillId="8" borderId="0" xfId="0" applyFill="1" applyBorder="1" applyAlignment="1">
      <alignment/>
    </xf>
    <xf numFmtId="49" fontId="15" fillId="0" borderId="0" xfId="0" applyNumberFormat="1" applyFont="1" applyAlignment="1">
      <alignment horizontal="right"/>
    </xf>
    <xf numFmtId="0" fontId="0" fillId="2" borderId="0" xfId="0" applyFont="1" applyFill="1" applyAlignment="1">
      <alignment horizontal="left"/>
    </xf>
    <xf numFmtId="0" fontId="0" fillId="0" borderId="0" xfId="0" applyFont="1" applyFill="1" applyAlignment="1">
      <alignment horizontal="left"/>
    </xf>
    <xf numFmtId="3" fontId="2" fillId="2" borderId="0" xfId="0" applyNumberFormat="1" applyFont="1" applyFill="1" applyBorder="1" applyAlignment="1">
      <alignment/>
    </xf>
    <xf numFmtId="0" fontId="1" fillId="0" borderId="0" xfId="0" applyFont="1" applyFill="1" applyAlignment="1">
      <alignment/>
    </xf>
    <xf numFmtId="49" fontId="15" fillId="0" borderId="0" xfId="0" applyNumberFormat="1" applyFont="1" applyFill="1" applyAlignment="1">
      <alignment horizontal="right"/>
    </xf>
    <xf numFmtId="3" fontId="0" fillId="0" borderId="0" xfId="0" applyNumberFormat="1" applyFill="1" applyAlignment="1">
      <alignment/>
    </xf>
    <xf numFmtId="0" fontId="5" fillId="0" borderId="0" xfId="0" applyFont="1" applyAlignment="1">
      <alignment/>
    </xf>
    <xf numFmtId="3" fontId="0" fillId="2" borderId="0" xfId="0" applyNumberFormat="1" applyFont="1" applyFill="1" applyBorder="1" applyAlignment="1">
      <alignment horizontal="right"/>
    </xf>
    <xf numFmtId="0" fontId="14" fillId="2" borderId="0" xfId="0" applyFont="1" applyFill="1" applyAlignment="1">
      <alignment horizontal="left"/>
    </xf>
    <xf numFmtId="2" fontId="2" fillId="0" borderId="0" xfId="0" applyNumberFormat="1" applyFont="1" applyFill="1" applyBorder="1" applyAlignment="1">
      <alignment/>
    </xf>
    <xf numFmtId="0" fontId="7" fillId="0" borderId="2" xfId="0" applyFont="1" applyBorder="1" applyAlignment="1">
      <alignment horizontal="right"/>
    </xf>
    <xf numFmtId="0" fontId="18" fillId="0" borderId="2" xfId="0" applyFont="1" applyBorder="1" applyAlignment="1">
      <alignment horizontal="center"/>
    </xf>
    <xf numFmtId="9" fontId="19" fillId="0" borderId="2" xfId="21" applyFont="1" applyBorder="1" applyAlignment="1">
      <alignment horizontal="center"/>
    </xf>
    <xf numFmtId="3" fontId="0" fillId="0" borderId="3" xfId="0" applyNumberFormat="1" applyFont="1" applyFill="1" applyBorder="1" applyAlignment="1">
      <alignment/>
    </xf>
    <xf numFmtId="0" fontId="18" fillId="0" borderId="0" xfId="0" applyFont="1" applyAlignment="1">
      <alignment horizontal="right"/>
    </xf>
    <xf numFmtId="9" fontId="18" fillId="0" borderId="0" xfId="21" applyFont="1" applyAlignment="1">
      <alignment/>
    </xf>
    <xf numFmtId="0" fontId="20" fillId="0" borderId="0" xfId="0" applyFont="1" applyAlignment="1">
      <alignment horizontal="right"/>
    </xf>
    <xf numFmtId="9" fontId="20" fillId="0" borderId="0" xfId="0" applyNumberFormat="1" applyFont="1" applyAlignment="1">
      <alignment/>
    </xf>
    <xf numFmtId="0" fontId="20" fillId="0" borderId="2" xfId="0" applyFont="1" applyBorder="1" applyAlignment="1">
      <alignment/>
    </xf>
    <xf numFmtId="3" fontId="2" fillId="0" borderId="0" xfId="0" applyNumberFormat="1" applyFont="1" applyAlignment="1">
      <alignment/>
    </xf>
    <xf numFmtId="168" fontId="0" fillId="0" borderId="0" xfId="0" applyNumberFormat="1" applyBorder="1" applyAlignment="1">
      <alignment/>
    </xf>
    <xf numFmtId="0" fontId="21" fillId="0" borderId="0" xfId="0" applyFont="1" applyAlignment="1">
      <alignment/>
    </xf>
    <xf numFmtId="3" fontId="0" fillId="0" borderId="0" xfId="0" applyNumberFormat="1" applyAlignment="1">
      <alignment/>
    </xf>
    <xf numFmtId="3" fontId="1" fillId="0" borderId="0" xfId="0" applyNumberFormat="1" applyFont="1" applyBorder="1" applyAlignment="1">
      <alignment/>
    </xf>
    <xf numFmtId="9" fontId="0" fillId="0" borderId="0" xfId="21" applyAlignment="1">
      <alignment/>
    </xf>
    <xf numFmtId="168" fontId="0" fillId="0" borderId="0" xfId="21" applyNumberFormat="1" applyAlignment="1">
      <alignment/>
    </xf>
    <xf numFmtId="3" fontId="3" fillId="2" borderId="0" xfId="0" applyNumberFormat="1" applyFont="1" applyFill="1" applyAlignment="1">
      <alignment/>
    </xf>
    <xf numFmtId="3" fontId="0" fillId="2" borderId="0" xfId="0" applyNumberFormat="1" applyFill="1" applyAlignment="1">
      <alignment horizontal="right"/>
    </xf>
    <xf numFmtId="0" fontId="0" fillId="2" borderId="0" xfId="0" applyFont="1" applyFill="1" applyBorder="1" applyAlignment="1">
      <alignment/>
    </xf>
    <xf numFmtId="0" fontId="1" fillId="2" borderId="0" xfId="0" applyFont="1" applyFill="1" applyBorder="1" applyAlignment="1">
      <alignment horizontal="center"/>
    </xf>
    <xf numFmtId="9" fontId="0" fillId="2" borderId="0" xfId="21" applyFont="1" applyFill="1" applyBorder="1" applyAlignment="1">
      <alignment horizontal="right"/>
    </xf>
    <xf numFmtId="3" fontId="0" fillId="4" borderId="0" xfId="0" applyNumberFormat="1" applyFont="1" applyFill="1" applyBorder="1" applyAlignment="1">
      <alignment horizontal="right"/>
    </xf>
    <xf numFmtId="0" fontId="17" fillId="0" borderId="0" xfId="0" applyFont="1" applyBorder="1" applyAlignment="1">
      <alignment horizontal="center"/>
    </xf>
    <xf numFmtId="1" fontId="0" fillId="2" borderId="0" xfId="0" applyNumberFormat="1" applyFill="1" applyBorder="1" applyAlignment="1">
      <alignment/>
    </xf>
    <xf numFmtId="9" fontId="0" fillId="0" borderId="0" xfId="21" applyFont="1" applyAlignment="1">
      <alignment/>
    </xf>
    <xf numFmtId="1" fontId="0" fillId="5" borderId="0" xfId="0" applyNumberFormat="1" applyFont="1" applyFill="1" applyBorder="1" applyAlignment="1">
      <alignment/>
    </xf>
    <xf numFmtId="0" fontId="2" fillId="0" borderId="0" xfId="0" applyFont="1" applyAlignment="1">
      <alignment horizontal="center"/>
    </xf>
    <xf numFmtId="1" fontId="2" fillId="5" borderId="0" xfId="0" applyNumberFormat="1" applyFont="1" applyFill="1" applyBorder="1" applyAlignment="1">
      <alignment horizontal="center"/>
    </xf>
    <xf numFmtId="0" fontId="2" fillId="6" borderId="0" xfId="0" applyFont="1" applyFill="1" applyBorder="1" applyAlignment="1">
      <alignment horizontal="center"/>
    </xf>
    <xf numFmtId="0" fontId="2" fillId="3" borderId="0" xfId="0" applyFont="1" applyFill="1" applyBorder="1" applyAlignment="1">
      <alignment horizontal="center"/>
    </xf>
    <xf numFmtId="0" fontId="4" fillId="0" borderId="0" xfId="0" applyFont="1" applyFill="1" applyBorder="1" applyAlignment="1">
      <alignment horizontal="center"/>
    </xf>
    <xf numFmtId="9" fontId="2" fillId="0" borderId="0" xfId="21" applyFont="1" applyAlignment="1">
      <alignment/>
    </xf>
    <xf numFmtId="9" fontId="2" fillId="0" borderId="0" xfId="0" applyNumberFormat="1" applyFont="1" applyAlignment="1">
      <alignment/>
    </xf>
    <xf numFmtId="0" fontId="14" fillId="0" borderId="0" xfId="0" applyFont="1" applyAlignment="1">
      <alignment horizontal="center"/>
    </xf>
    <xf numFmtId="49" fontId="15" fillId="0" borderId="0" xfId="0" applyNumberFormat="1" applyFont="1" applyAlignment="1">
      <alignment horizontal="left"/>
    </xf>
    <xf numFmtId="9" fontId="10" fillId="0" borderId="0" xfId="0" applyNumberFormat="1" applyFont="1" applyFill="1" applyAlignment="1">
      <alignment/>
    </xf>
    <xf numFmtId="3" fontId="22" fillId="0" borderId="0" xfId="0" applyNumberFormat="1" applyFont="1" applyFill="1" applyAlignment="1">
      <alignment/>
    </xf>
    <xf numFmtId="1" fontId="1" fillId="0" borderId="0" xfId="0" applyNumberFormat="1" applyFont="1" applyAlignment="1">
      <alignment horizontal="center"/>
    </xf>
    <xf numFmtId="3" fontId="0" fillId="2" borderId="0" xfId="0" applyNumberFormat="1" applyFont="1" applyFill="1" applyAlignment="1">
      <alignment horizontal="left"/>
    </xf>
    <xf numFmtId="9" fontId="23" fillId="0" borderId="0" xfId="21" applyFont="1" applyAlignment="1">
      <alignment horizontal="left"/>
    </xf>
    <xf numFmtId="0" fontId="24" fillId="0" borderId="0" xfId="0" applyFont="1" applyBorder="1" applyAlignment="1">
      <alignment/>
    </xf>
    <xf numFmtId="0" fontId="9" fillId="0" borderId="1" xfId="0" applyFont="1" applyBorder="1" applyAlignment="1">
      <alignment horizontal="right"/>
    </xf>
    <xf numFmtId="0" fontId="25" fillId="0" borderId="0" xfId="0" applyFont="1" applyFill="1" applyBorder="1" applyAlignment="1">
      <alignment/>
    </xf>
    <xf numFmtId="0" fontId="9" fillId="0" borderId="1" xfId="0" applyFont="1" applyBorder="1" applyAlignment="1">
      <alignment/>
    </xf>
    <xf numFmtId="0" fontId="9" fillId="0" borderId="0" xfId="0" applyFont="1" applyBorder="1" applyAlignment="1">
      <alignment/>
    </xf>
    <xf numFmtId="0" fontId="26" fillId="0" borderId="0" xfId="0" applyFont="1" applyBorder="1" applyAlignment="1">
      <alignment/>
    </xf>
    <xf numFmtId="0" fontId="0" fillId="0" borderId="0" xfId="0" applyBorder="1" applyAlignment="1">
      <alignment horizontal="right"/>
    </xf>
    <xf numFmtId="0" fontId="4" fillId="0" borderId="0" xfId="0" applyFont="1" applyBorder="1" applyAlignment="1">
      <alignment horizontal="right"/>
    </xf>
    <xf numFmtId="166" fontId="3" fillId="0" borderId="0" xfId="0" applyNumberFormat="1" applyFont="1" applyFill="1" applyBorder="1" applyAlignment="1">
      <alignment horizontal="right"/>
    </xf>
    <xf numFmtId="9" fontId="2" fillId="2" borderId="0" xfId="21" applyFont="1" applyFill="1" applyBorder="1" applyAlignment="1">
      <alignment horizontal="right"/>
    </xf>
    <xf numFmtId="3" fontId="4" fillId="0" borderId="0" xfId="0" applyNumberFormat="1" applyFont="1" applyBorder="1" applyAlignment="1">
      <alignment horizontal="right"/>
    </xf>
    <xf numFmtId="1" fontId="16" fillId="0" borderId="0" xfId="0" applyNumberFormat="1" applyFont="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lignment/>
    </xf>
    <xf numFmtId="0" fontId="0" fillId="2" borderId="4" xfId="0" applyFont="1" applyFill="1" applyBorder="1" applyAlignment="1">
      <alignment/>
    </xf>
    <xf numFmtId="168" fontId="2" fillId="2" borderId="0" xfId="21" applyNumberFormat="1" applyFont="1" applyFill="1" applyBorder="1" applyAlignment="1">
      <alignment/>
    </xf>
    <xf numFmtId="0" fontId="2" fillId="2" borderId="0" xfId="0" applyFont="1" applyFill="1" applyAlignment="1">
      <alignment/>
    </xf>
    <xf numFmtId="9" fontId="2" fillId="2" borderId="4" xfId="21" applyNumberFormat="1" applyFont="1" applyFill="1" applyBorder="1" applyAlignment="1">
      <alignment/>
    </xf>
    <xf numFmtId="0" fontId="2" fillId="2" borderId="4" xfId="0" applyFont="1" applyFill="1" applyBorder="1" applyAlignment="1">
      <alignment/>
    </xf>
    <xf numFmtId="9" fontId="2" fillId="2" borderId="0" xfId="21" applyNumberFormat="1" applyFont="1" applyFill="1" applyBorder="1" applyAlignment="1">
      <alignment/>
    </xf>
    <xf numFmtId="3" fontId="0" fillId="2" borderId="4" xfId="0" applyNumberFormat="1" applyFont="1" applyFill="1" applyBorder="1" applyAlignment="1">
      <alignment horizontal="right"/>
    </xf>
    <xf numFmtId="9" fontId="2" fillId="4" borderId="0" xfId="21" applyNumberFormat="1" applyFont="1" applyFill="1" applyBorder="1" applyAlignment="1">
      <alignment/>
    </xf>
    <xf numFmtId="0" fontId="2" fillId="4" borderId="0" xfId="0" applyFont="1" applyFill="1" applyAlignment="1">
      <alignment/>
    </xf>
    <xf numFmtId="0" fontId="0" fillId="2" borderId="0" xfId="0" applyFill="1" applyAlignment="1">
      <alignment/>
    </xf>
    <xf numFmtId="0" fontId="0" fillId="2" borderId="4" xfId="0" applyFill="1" applyBorder="1" applyAlignment="1">
      <alignment/>
    </xf>
    <xf numFmtId="168" fontId="2" fillId="4" borderId="0" xfId="21" applyNumberFormat="1" applyFont="1" applyFill="1" applyBorder="1" applyAlignment="1">
      <alignment/>
    </xf>
    <xf numFmtId="0" fontId="0" fillId="4" borderId="0" xfId="0" applyFill="1" applyAlignment="1">
      <alignment/>
    </xf>
    <xf numFmtId="3" fontId="0" fillId="4" borderId="4" xfId="0" applyNumberFormat="1" applyFont="1" applyFill="1" applyBorder="1" applyAlignment="1">
      <alignment horizontal="right"/>
    </xf>
    <xf numFmtId="0" fontId="0" fillId="4" borderId="4" xfId="0" applyFill="1" applyBorder="1" applyAlignment="1">
      <alignment/>
    </xf>
    <xf numFmtId="9" fontId="2" fillId="4" borderId="4" xfId="21" applyNumberFormat="1" applyFont="1" applyFill="1" applyBorder="1" applyAlignment="1">
      <alignment/>
    </xf>
    <xf numFmtId="0" fontId="2" fillId="4" borderId="4" xfId="0" applyFont="1" applyFill="1" applyBorder="1" applyAlignment="1">
      <alignment/>
    </xf>
    <xf numFmtId="0" fontId="2" fillId="0" borderId="0" xfId="0" applyFont="1" applyAlignment="1">
      <alignment horizontal="left"/>
    </xf>
    <xf numFmtId="3" fontId="2" fillId="0" borderId="4" xfId="0" applyNumberFormat="1" applyFont="1" applyBorder="1" applyAlignment="1">
      <alignment/>
    </xf>
    <xf numFmtId="0" fontId="14" fillId="0" borderId="0" xfId="0" applyFont="1" applyBorder="1" applyAlignment="1">
      <alignment/>
    </xf>
    <xf numFmtId="3" fontId="14" fillId="0" borderId="0" xfId="0" applyNumberFormat="1" applyFont="1" applyAlignment="1">
      <alignment/>
    </xf>
    <xf numFmtId="0" fontId="14" fillId="0" borderId="0" xfId="0" applyFont="1" applyAlignment="1">
      <alignment/>
    </xf>
    <xf numFmtId="9" fontId="14" fillId="0" borderId="0" xfId="21" applyFont="1" applyAlignment="1">
      <alignment/>
    </xf>
    <xf numFmtId="3" fontId="2" fillId="0" borderId="0" xfId="0" applyNumberFormat="1" applyFont="1" applyFill="1" applyAlignment="1">
      <alignment horizontal="left"/>
    </xf>
    <xf numFmtId="0" fontId="2" fillId="0" borderId="5" xfId="0" applyFont="1" applyBorder="1" applyAlignment="1">
      <alignment/>
    </xf>
    <xf numFmtId="0" fontId="23" fillId="0" borderId="6" xfId="0" applyFont="1" applyBorder="1" applyAlignment="1">
      <alignment horizontal="left"/>
    </xf>
    <xf numFmtId="9" fontId="23" fillId="0" borderId="6" xfId="21" applyFont="1" applyBorder="1" applyAlignment="1">
      <alignment horizontal="left"/>
    </xf>
    <xf numFmtId="0" fontId="14" fillId="0" borderId="7" xfId="0" applyFont="1" applyBorder="1" applyAlignment="1">
      <alignment/>
    </xf>
    <xf numFmtId="9" fontId="14" fillId="0" borderId="8" xfId="0" applyNumberFormat="1" applyFont="1" applyBorder="1" applyAlignment="1">
      <alignment horizontal="left"/>
    </xf>
    <xf numFmtId="9" fontId="4" fillId="2" borderId="0" xfId="21" applyFont="1" applyFill="1" applyBorder="1" applyAlignment="1">
      <alignment/>
    </xf>
    <xf numFmtId="3" fontId="0" fillId="5" borderId="0" xfId="0" applyNumberFormat="1" applyFont="1" applyFill="1" applyBorder="1" applyAlignment="1">
      <alignment/>
    </xf>
    <xf numFmtId="3" fontId="0" fillId="6" borderId="0" xfId="0" applyNumberFormat="1" applyFont="1" applyFill="1" applyBorder="1" applyAlignment="1">
      <alignment/>
    </xf>
    <xf numFmtId="3" fontId="0" fillId="3" borderId="0" xfId="0" applyNumberFormat="1" applyFont="1" applyFill="1" applyBorder="1" applyAlignment="1">
      <alignment/>
    </xf>
    <xf numFmtId="3" fontId="0" fillId="4" borderId="0" xfId="0" applyNumberFormat="1" applyFont="1" applyFill="1" applyBorder="1" applyAlignment="1">
      <alignment/>
    </xf>
    <xf numFmtId="3" fontId="1" fillId="2" borderId="0" xfId="0" applyNumberFormat="1" applyFont="1" applyFill="1" applyBorder="1" applyAlignment="1">
      <alignment/>
    </xf>
    <xf numFmtId="3" fontId="1" fillId="8" borderId="0" xfId="0" applyNumberFormat="1" applyFont="1" applyFill="1" applyBorder="1" applyAlignment="1">
      <alignment/>
    </xf>
    <xf numFmtId="9" fontId="1" fillId="0" borderId="0" xfId="21" applyFont="1" applyBorder="1" applyAlignment="1">
      <alignment horizontal="left"/>
    </xf>
    <xf numFmtId="3" fontId="1" fillId="2" borderId="0" xfId="0" applyNumberFormat="1" applyFont="1" applyFill="1" applyBorder="1" applyAlignment="1">
      <alignment/>
    </xf>
    <xf numFmtId="0" fontId="27" fillId="7" borderId="9" xfId="0" applyFont="1" applyFill="1" applyBorder="1" applyAlignment="1">
      <alignment horizontal="center"/>
    </xf>
    <xf numFmtId="3" fontId="27" fillId="7" borderId="10" xfId="0" applyNumberFormat="1" applyFont="1" applyFill="1" applyBorder="1" applyAlignment="1">
      <alignment horizontal="center"/>
    </xf>
    <xf numFmtId="3" fontId="27" fillId="7" borderId="11" xfId="0" applyNumberFormat="1" applyFont="1" applyFill="1" applyBorder="1" applyAlignment="1">
      <alignment horizontal="center"/>
    </xf>
    <xf numFmtId="0" fontId="0" fillId="0" borderId="0" xfId="0" applyFont="1" applyBorder="1" applyAlignment="1">
      <alignment/>
    </xf>
    <xf numFmtId="0" fontId="0" fillId="3" borderId="0" xfId="0" applyFont="1" applyFill="1" applyBorder="1" applyAlignment="1">
      <alignment/>
    </xf>
    <xf numFmtId="3" fontId="0" fillId="2" borderId="0" xfId="0" applyNumberFormat="1" applyFont="1" applyFill="1" applyBorder="1" applyAlignment="1">
      <alignment/>
    </xf>
    <xf numFmtId="0" fontId="0" fillId="8" borderId="0" xfId="0" applyFont="1" applyFill="1" applyBorder="1" applyAlignment="1">
      <alignment/>
    </xf>
    <xf numFmtId="1" fontId="1" fillId="4" borderId="0" xfId="0" applyNumberFormat="1" applyFont="1" applyFill="1" applyBorder="1" applyAlignment="1">
      <alignment/>
    </xf>
    <xf numFmtId="0" fontId="0" fillId="0" borderId="1" xfId="0" applyFont="1" applyBorder="1" applyAlignment="1">
      <alignment/>
    </xf>
    <xf numFmtId="9" fontId="16" fillId="5" borderId="0" xfId="21" applyFont="1" applyFill="1" applyBorder="1" applyAlignment="1">
      <alignment/>
    </xf>
    <xf numFmtId="9" fontId="16" fillId="6" borderId="0" xfId="21" applyFont="1" applyFill="1" applyBorder="1" applyAlignment="1">
      <alignment/>
    </xf>
    <xf numFmtId="9" fontId="16" fillId="3" borderId="0" xfId="21" applyFont="1" applyFill="1" applyBorder="1" applyAlignment="1">
      <alignment/>
    </xf>
    <xf numFmtId="9" fontId="16" fillId="4" borderId="0" xfId="21" applyFont="1" applyFill="1" applyBorder="1" applyAlignment="1">
      <alignment/>
    </xf>
    <xf numFmtId="9" fontId="16" fillId="2" borderId="0" xfId="21" applyFont="1" applyFill="1" applyBorder="1" applyAlignment="1">
      <alignment/>
    </xf>
    <xf numFmtId="3" fontId="0" fillId="2" borderId="0" xfId="0" applyNumberFormat="1" applyFont="1" applyFill="1" applyBorder="1" applyAlignment="1">
      <alignment/>
    </xf>
    <xf numFmtId="9" fontId="16" fillId="5" borderId="0" xfId="21" applyFont="1" applyFill="1" applyBorder="1" applyAlignment="1">
      <alignment/>
    </xf>
    <xf numFmtId="9" fontId="16" fillId="6" borderId="0" xfId="21" applyFont="1" applyFill="1" applyBorder="1" applyAlignment="1">
      <alignment/>
    </xf>
    <xf numFmtId="9" fontId="16" fillId="3" borderId="0" xfId="21" applyFont="1" applyFill="1" applyBorder="1" applyAlignment="1">
      <alignment/>
    </xf>
    <xf numFmtId="9" fontId="16" fillId="4" borderId="0" xfId="21" applyFont="1" applyFill="1" applyBorder="1" applyAlignment="1">
      <alignment/>
    </xf>
    <xf numFmtId="9" fontId="16" fillId="2" borderId="0" xfId="21" applyFont="1" applyFill="1" applyBorder="1" applyAlignment="1">
      <alignment/>
    </xf>
    <xf numFmtId="3" fontId="0" fillId="2" borderId="0" xfId="0" applyNumberFormat="1" applyFont="1" applyFill="1" applyAlignment="1">
      <alignment/>
    </xf>
    <xf numFmtId="3" fontId="0" fillId="0" borderId="0" xfId="0" applyNumberFormat="1" applyFont="1" applyFill="1" applyAlignment="1">
      <alignment/>
    </xf>
    <xf numFmtId="3" fontId="0" fillId="2" borderId="1" xfId="0" applyNumberFormat="1" applyFont="1" applyFill="1" applyBorder="1" applyAlignment="1">
      <alignment/>
    </xf>
    <xf numFmtId="3" fontId="6" fillId="0" borderId="0" xfId="0" applyNumberFormat="1" applyFont="1" applyAlignment="1">
      <alignment/>
    </xf>
    <xf numFmtId="0" fontId="26" fillId="0" borderId="0" xfId="0" applyFont="1" applyFill="1" applyAlignment="1">
      <alignment horizontal="right"/>
    </xf>
    <xf numFmtId="3" fontId="26" fillId="0" borderId="0" xfId="0" applyNumberFormat="1" applyFont="1" applyAlignment="1">
      <alignment horizontal="left"/>
    </xf>
    <xf numFmtId="0" fontId="0" fillId="0" borderId="0" xfId="0" applyFont="1" applyAlignment="1">
      <alignment/>
    </xf>
    <xf numFmtId="0" fontId="0" fillId="0" borderId="0" xfId="0" applyFont="1" applyFill="1" applyAlignment="1">
      <alignment/>
    </xf>
    <xf numFmtId="0" fontId="6" fillId="0" borderId="0" xfId="0" applyFont="1" applyBorder="1" applyAlignment="1">
      <alignment horizontal="center"/>
    </xf>
    <xf numFmtId="0" fontId="6" fillId="0" borderId="0" xfId="0" applyFont="1" applyFill="1" applyBorder="1" applyAlignment="1">
      <alignment horizontal="center"/>
    </xf>
    <xf numFmtId="166" fontId="22" fillId="5" borderId="0" xfId="0" applyNumberFormat="1" applyFont="1" applyFill="1" applyBorder="1" applyAlignment="1">
      <alignment/>
    </xf>
    <xf numFmtId="166" fontId="22" fillId="0" borderId="0" xfId="0" applyNumberFormat="1" applyFont="1" applyFill="1" applyBorder="1" applyAlignment="1">
      <alignment/>
    </xf>
    <xf numFmtId="166" fontId="22" fillId="6" borderId="0" xfId="0" applyNumberFormat="1" applyFont="1" applyFill="1" applyBorder="1" applyAlignment="1">
      <alignment/>
    </xf>
    <xf numFmtId="166" fontId="22" fillId="3" borderId="0" xfId="0" applyNumberFormat="1" applyFont="1" applyFill="1" applyBorder="1" applyAlignment="1">
      <alignment/>
    </xf>
    <xf numFmtId="166" fontId="22" fillId="2" borderId="0" xfId="0" applyNumberFormat="1" applyFont="1" applyFill="1" applyBorder="1" applyAlignment="1">
      <alignment/>
    </xf>
    <xf numFmtId="166" fontId="22" fillId="4" borderId="0" xfId="0" applyNumberFormat="1" applyFont="1" applyFill="1" applyBorder="1" applyAlignment="1">
      <alignment/>
    </xf>
    <xf numFmtId="3" fontId="6" fillId="0" borderId="0" xfId="0" applyNumberFormat="1" applyFont="1" applyBorder="1" applyAlignment="1">
      <alignment/>
    </xf>
    <xf numFmtId="3" fontId="6" fillId="0" borderId="0" xfId="0" applyNumberFormat="1" applyFont="1" applyFill="1" applyBorder="1" applyAlignment="1">
      <alignment/>
    </xf>
    <xf numFmtId="0" fontId="26" fillId="0" borderId="0" xfId="0" applyFont="1" applyAlignment="1">
      <alignment/>
    </xf>
    <xf numFmtId="1" fontId="26" fillId="0" borderId="0" xfId="0" applyNumberFormat="1" applyFont="1" applyFill="1" applyAlignment="1">
      <alignment/>
    </xf>
    <xf numFmtId="166" fontId="22" fillId="4" borderId="1" xfId="0" applyNumberFormat="1" applyFont="1" applyFill="1" applyBorder="1" applyAlignment="1">
      <alignment/>
    </xf>
    <xf numFmtId="3" fontId="28" fillId="0" borderId="0" xfId="0" applyNumberFormat="1" applyFont="1" applyAlignment="1">
      <alignment/>
    </xf>
    <xf numFmtId="166" fontId="23" fillId="0" borderId="0" xfId="0" applyNumberFormat="1" applyFont="1" applyFill="1" applyBorder="1" applyAlignment="1">
      <alignment/>
    </xf>
    <xf numFmtId="0" fontId="23" fillId="0" borderId="0" xfId="0" applyFont="1" applyFill="1" applyBorder="1" applyAlignment="1">
      <alignment/>
    </xf>
    <xf numFmtId="9" fontId="23" fillId="0" borderId="0" xfId="21" applyFont="1" applyFill="1" applyBorder="1" applyAlignment="1">
      <alignment/>
    </xf>
    <xf numFmtId="0" fontId="3" fillId="0" borderId="0" xfId="0" applyFont="1" applyAlignment="1">
      <alignment/>
    </xf>
    <xf numFmtId="0" fontId="24" fillId="0" borderId="0" xfId="0" applyFont="1" applyAlignment="1">
      <alignment/>
    </xf>
    <xf numFmtId="0" fontId="0" fillId="0" borderId="0" xfId="0" applyFont="1" applyBorder="1" applyAlignment="1">
      <alignment horizontal="center"/>
    </xf>
    <xf numFmtId="0" fontId="23" fillId="0" borderId="0" xfId="0" applyFont="1" applyBorder="1" applyAlignment="1">
      <alignment horizontal="left"/>
    </xf>
    <xf numFmtId="9" fontId="23" fillId="0" borderId="0" xfId="21" applyFont="1" applyBorder="1" applyAlignment="1">
      <alignment horizontal="left"/>
    </xf>
    <xf numFmtId="9" fontId="14" fillId="0" borderId="0" xfId="0" applyNumberFormat="1" applyFont="1" applyBorder="1" applyAlignment="1">
      <alignment horizontal="left"/>
    </xf>
    <xf numFmtId="0" fontId="3" fillId="0" borderId="0" xfId="0" applyFont="1" applyBorder="1" applyAlignment="1">
      <alignment horizontal="center"/>
    </xf>
    <xf numFmtId="166" fontId="14" fillId="0" borderId="0" xfId="0" applyNumberFormat="1" applyFont="1" applyFill="1" applyBorder="1" applyAlignment="1">
      <alignment horizontal="center"/>
    </xf>
    <xf numFmtId="0" fontId="28" fillId="0" borderId="0" xfId="0" applyFont="1" applyAlignment="1">
      <alignment/>
    </xf>
    <xf numFmtId="0" fontId="28" fillId="0" borderId="0" xfId="0" applyFont="1" applyBorder="1" applyAlignment="1">
      <alignment horizontal="right"/>
    </xf>
    <xf numFmtId="3" fontId="28" fillId="0" borderId="0" xfId="0" applyNumberFormat="1" applyFont="1" applyBorder="1" applyAlignment="1">
      <alignment horizontal="left"/>
    </xf>
    <xf numFmtId="168" fontId="10" fillId="2" borderId="0" xfId="21" applyNumberFormat="1" applyFont="1" applyFill="1" applyAlignment="1">
      <alignment/>
    </xf>
    <xf numFmtId="168" fontId="2" fillId="0" borderId="0" xfId="21" applyNumberFormat="1" applyFont="1" applyAlignment="1">
      <alignment/>
    </xf>
    <xf numFmtId="3" fontId="2" fillId="0" borderId="4" xfId="0" applyNumberFormat="1" applyFont="1" applyBorder="1" applyAlignment="1">
      <alignment/>
    </xf>
    <xf numFmtId="0" fontId="28" fillId="9" borderId="9" xfId="0" applyFont="1" applyFill="1" applyBorder="1" applyAlignment="1">
      <alignment/>
    </xf>
    <xf numFmtId="0" fontId="0" fillId="9" borderId="10" xfId="0" applyFill="1" applyBorder="1" applyAlignment="1">
      <alignment/>
    </xf>
    <xf numFmtId="0" fontId="0" fillId="9" borderId="10" xfId="0" applyFill="1" applyBorder="1" applyAlignment="1">
      <alignment/>
    </xf>
    <xf numFmtId="0" fontId="28" fillId="9" borderId="10" xfId="0" applyFont="1" applyFill="1" applyBorder="1" applyAlignment="1">
      <alignment/>
    </xf>
    <xf numFmtId="0" fontId="0" fillId="9" borderId="11" xfId="0" applyFill="1" applyBorder="1" applyAlignment="1">
      <alignment/>
    </xf>
    <xf numFmtId="0" fontId="11" fillId="0" borderId="0" xfId="0" applyFont="1" applyAlignment="1">
      <alignment horizontal="right"/>
    </xf>
    <xf numFmtId="0" fontId="11" fillId="0" borderId="0" xfId="0" applyFont="1" applyAlignment="1">
      <alignment/>
    </xf>
    <xf numFmtId="9" fontId="11" fillId="0" borderId="0" xfId="21" applyFont="1" applyAlignment="1">
      <alignment/>
    </xf>
    <xf numFmtId="3" fontId="14" fillId="0" borderId="1" xfId="0" applyNumberFormat="1" applyFont="1" applyBorder="1" applyAlignment="1">
      <alignment/>
    </xf>
    <xf numFmtId="3" fontId="14" fillId="0" borderId="1" xfId="0" applyNumberFormat="1" applyFont="1" applyBorder="1" applyAlignment="1">
      <alignment horizontal="center"/>
    </xf>
    <xf numFmtId="3" fontId="2" fillId="0" borderId="0" xfId="0" applyNumberFormat="1" applyFont="1" applyBorder="1" applyAlignment="1">
      <alignment/>
    </xf>
    <xf numFmtId="3" fontId="2" fillId="0" borderId="0" xfId="0" applyNumberFormat="1" applyFont="1" applyBorder="1" applyAlignment="1">
      <alignment/>
    </xf>
    <xf numFmtId="168" fontId="2" fillId="0" borderId="0" xfId="21" applyNumberFormat="1" applyFont="1" applyBorder="1" applyAlignment="1">
      <alignment/>
    </xf>
    <xf numFmtId="0" fontId="21" fillId="0" borderId="0" xfId="0" applyFont="1" applyBorder="1" applyAlignment="1">
      <alignment/>
    </xf>
    <xf numFmtId="166" fontId="14" fillId="0" borderId="0" xfId="0" applyNumberFormat="1" applyFont="1" applyFill="1" applyBorder="1" applyAlignment="1">
      <alignment/>
    </xf>
    <xf numFmtId="0" fontId="31" fillId="0" borderId="0" xfId="0" applyFont="1" applyAlignment="1">
      <alignment horizontal="right"/>
    </xf>
    <xf numFmtId="172" fontId="2" fillId="0" borderId="0" xfId="0" applyNumberFormat="1" applyFont="1" applyAlignment="1">
      <alignment/>
    </xf>
    <xf numFmtId="3" fontId="0" fillId="2" borderId="0" xfId="0" applyNumberFormat="1" applyFill="1" applyBorder="1" applyAlignment="1">
      <alignment horizontal="right"/>
    </xf>
    <xf numFmtId="3" fontId="3" fillId="2" borderId="1" xfId="0" applyNumberFormat="1" applyFont="1" applyFill="1" applyBorder="1" applyAlignment="1">
      <alignment/>
    </xf>
    <xf numFmtId="3" fontId="2" fillId="2" borderId="0" xfId="0" applyNumberFormat="1" applyFont="1" applyFill="1" applyBorder="1" applyAlignment="1">
      <alignment/>
    </xf>
    <xf numFmtId="3" fontId="2" fillId="0" borderId="0" xfId="0" applyNumberFormat="1" applyFont="1" applyFill="1" applyBorder="1" applyAlignment="1">
      <alignment/>
    </xf>
    <xf numFmtId="9" fontId="2" fillId="0" borderId="0" xfId="21" applyFont="1" applyBorder="1" applyAlignment="1">
      <alignment/>
    </xf>
    <xf numFmtId="168" fontId="2" fillId="0" borderId="4" xfId="21" applyNumberFormat="1" applyFont="1" applyBorder="1" applyAlignment="1">
      <alignment/>
    </xf>
    <xf numFmtId="9" fontId="2" fillId="0" borderId="4" xfId="21" applyFont="1" applyBorder="1" applyAlignment="1">
      <alignment/>
    </xf>
    <xf numFmtId="3" fontId="21" fillId="0" borderId="0" xfId="0" applyNumberFormat="1" applyFont="1" applyBorder="1" applyAlignment="1">
      <alignment/>
    </xf>
    <xf numFmtId="3" fontId="14" fillId="0" borderId="1" xfId="0" applyNumberFormat="1" applyFont="1" applyBorder="1" applyAlignment="1">
      <alignment horizontal="center"/>
    </xf>
    <xf numFmtId="0" fontId="32" fillId="0" borderId="0" xfId="0" applyFont="1" applyAlignment="1">
      <alignment/>
    </xf>
    <xf numFmtId="9" fontId="21" fillId="0" borderId="0" xfId="21" applyFont="1" applyAlignment="1">
      <alignment/>
    </xf>
    <xf numFmtId="166" fontId="23" fillId="0" borderId="0" xfId="0" applyNumberFormat="1" applyFont="1" applyFill="1" applyBorder="1" applyAlignment="1">
      <alignment horizontal="right"/>
    </xf>
    <xf numFmtId="4" fontId="2" fillId="0" borderId="0" xfId="0" applyNumberFormat="1" applyFont="1" applyBorder="1" applyAlignment="1">
      <alignment/>
    </xf>
    <xf numFmtId="165" fontId="0" fillId="0" borderId="0" xfId="0" applyNumberFormat="1" applyAlignment="1">
      <alignment/>
    </xf>
    <xf numFmtId="0" fontId="31" fillId="9" borderId="10" xfId="0" applyFont="1" applyFill="1" applyBorder="1" applyAlignment="1">
      <alignment horizontal="center"/>
    </xf>
    <xf numFmtId="0" fontId="31" fillId="9" borderId="11" xfId="0" applyFont="1" applyFill="1" applyBorder="1" applyAlignment="1">
      <alignment horizontal="center"/>
    </xf>
    <xf numFmtId="0" fontId="1" fillId="0" borderId="12" xfId="0" applyFont="1" applyBorder="1" applyAlignment="1">
      <alignment horizontal="center"/>
    </xf>
    <xf numFmtId="0" fontId="0" fillId="0" borderId="13" xfId="0" applyFont="1" applyBorder="1" applyAlignment="1">
      <alignment horizontal="center"/>
    </xf>
    <xf numFmtId="0" fontId="4" fillId="0" borderId="0" xfId="0" applyFont="1" applyBorder="1" applyAlignment="1">
      <alignment horizontal="center"/>
    </xf>
    <xf numFmtId="0" fontId="0" fillId="5" borderId="0" xfId="0" applyFont="1" applyFill="1" applyBorder="1" applyAlignment="1">
      <alignment horizontal="center"/>
    </xf>
    <xf numFmtId="0" fontId="0" fillId="6" borderId="0" xfId="0" applyFont="1" applyFill="1" applyBorder="1" applyAlignment="1">
      <alignment horizontal="center"/>
    </xf>
    <xf numFmtId="0" fontId="0" fillId="4" borderId="0" xfId="0" applyFont="1" applyFill="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
    </xf>
    <xf numFmtId="3" fontId="34" fillId="0" borderId="0" xfId="0" applyNumberFormat="1" applyFont="1" applyAlignment="1">
      <alignment/>
    </xf>
    <xf numFmtId="3" fontId="34" fillId="0" borderId="0" xfId="0" applyNumberFormat="1" applyFont="1" applyBorder="1" applyAlignment="1">
      <alignment/>
    </xf>
    <xf numFmtId="3" fontId="35" fillId="0" borderId="0" xfId="0" applyNumberFormat="1" applyFont="1" applyBorder="1" applyAlignment="1">
      <alignment/>
    </xf>
    <xf numFmtId="3" fontId="30" fillId="0" borderId="1" xfId="0" applyNumberFormat="1" applyFont="1" applyBorder="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strike val="0"/>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5400000" anchor="ctr"/>
          <a:lstStyle/>
          <a:p>
            <a:pPr algn="ctr">
              <a:defRPr/>
            </a:pPr>
            <a:r>
              <a:rPr lang="en-US" cap="none" sz="800" b="1" i="0" u="none" baseline="0">
                <a:latin typeface="Arial"/>
                <a:ea typeface="Arial"/>
                <a:cs typeface="Arial"/>
              </a:rPr>
              <a:t>% stored</a:t>
            </a:r>
          </a:p>
        </c:rich>
      </c:tx>
      <c:layout>
        <c:manualLayout>
          <c:xMode val="factor"/>
          <c:yMode val="factor"/>
          <c:x val="-0.47225"/>
          <c:y val="0.279"/>
        </c:manualLayout>
      </c:layout>
      <c:spPr>
        <a:noFill/>
        <a:ln>
          <a:noFill/>
        </a:ln>
      </c:spPr>
    </c:title>
    <c:plotArea>
      <c:layout>
        <c:manualLayout>
          <c:xMode val="edge"/>
          <c:yMode val="edge"/>
          <c:x val="0.07275"/>
          <c:y val="0"/>
          <c:w val="0.90225"/>
          <c:h val="0.964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Parameters!$G$8:$G$10</c:f>
              <c:numCache/>
            </c:numRef>
          </c:xVal>
          <c:yVal>
            <c:numRef>
              <c:f>Parameters!$H$8:$H$10</c:f>
              <c:numCache/>
            </c:numRef>
          </c:yVal>
          <c:smooth val="0"/>
        </c:ser>
        <c:axId val="55361833"/>
        <c:axId val="28494450"/>
      </c:scatterChart>
      <c:valAx>
        <c:axId val="55361833"/>
        <c:scaling>
          <c:orientation val="minMax"/>
          <c:max val="1"/>
        </c:scaling>
        <c:axPos val="b"/>
        <c:delete val="0"/>
        <c:numFmt formatCode="General" sourceLinked="1"/>
        <c:majorTickMark val="out"/>
        <c:minorTickMark val="none"/>
        <c:tickLblPos val="nextTo"/>
        <c:crossAx val="28494450"/>
        <c:crosses val="autoZero"/>
        <c:crossBetween val="midCat"/>
        <c:dispUnits/>
      </c:valAx>
      <c:valAx>
        <c:axId val="28494450"/>
        <c:scaling>
          <c:orientation val="minMax"/>
          <c:max val="1"/>
        </c:scaling>
        <c:axPos val="l"/>
        <c:majorGridlines/>
        <c:delete val="0"/>
        <c:numFmt formatCode="General" sourceLinked="1"/>
        <c:majorTickMark val="out"/>
        <c:minorTickMark val="none"/>
        <c:tickLblPos val="nextTo"/>
        <c:crossAx val="55361833"/>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025"/>
          <c:w val="0.9705"/>
          <c:h val="0.9395"/>
        </c:manualLayout>
      </c:layout>
      <c:barChart>
        <c:barDir val="col"/>
        <c:grouping val="clustered"/>
        <c:varyColors val="0"/>
        <c:ser>
          <c:idx val="0"/>
          <c:order val="0"/>
          <c:tx>
            <c:strRef>
              <c:f>'Accuracy Test'!$A$7</c:f>
              <c:strCache>
                <c:ptCount val="1"/>
                <c:pt idx="0">
                  <c:v>Calculated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'Accuracy Test'!$B$6:$L$6</c:f>
              <c:strCache/>
            </c:strRef>
          </c:cat>
          <c:val>
            <c:numRef>
              <c:f>'Accuracy Test'!$B$7:$L$7</c:f>
              <c:numCache/>
            </c:numRef>
          </c:val>
        </c:ser>
        <c:ser>
          <c:idx val="1"/>
          <c:order val="1"/>
          <c:tx>
            <c:strRef>
              <c:f>'Accuracy Test'!$A$8</c:f>
              <c:strCache>
                <c:ptCount val="1"/>
                <c:pt idx="0">
                  <c:v>Datas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'Accuracy Test'!$B$6:$L$6</c:f>
              <c:strCache/>
            </c:strRef>
          </c:cat>
          <c:val>
            <c:numRef>
              <c:f>'Accuracy Test'!$B$8:$L$8</c:f>
              <c:numCache/>
            </c:numRef>
          </c:val>
        </c:ser>
        <c:axId val="55123459"/>
        <c:axId val="26349084"/>
      </c:barChart>
      <c:catAx>
        <c:axId val="55123459"/>
        <c:scaling>
          <c:orientation val="minMax"/>
        </c:scaling>
        <c:axPos val="b"/>
        <c:delete val="0"/>
        <c:numFmt formatCode="General" sourceLinked="1"/>
        <c:majorTickMark val="out"/>
        <c:minorTickMark val="none"/>
        <c:tickLblPos val="nextTo"/>
        <c:crossAx val="26349084"/>
        <c:crosses val="autoZero"/>
        <c:auto val="1"/>
        <c:lblOffset val="100"/>
        <c:noMultiLvlLbl val="0"/>
      </c:catAx>
      <c:valAx>
        <c:axId val="26349084"/>
        <c:scaling>
          <c:orientation val="minMax"/>
        </c:scaling>
        <c:axPos val="l"/>
        <c:majorGridlines/>
        <c:delete val="0"/>
        <c:numFmt formatCode="General" sourceLinked="1"/>
        <c:majorTickMark val="out"/>
        <c:minorTickMark val="none"/>
        <c:tickLblPos val="nextTo"/>
        <c:crossAx val="55123459"/>
        <c:crossesAt val="1"/>
        <c:crossBetween val="between"/>
        <c:dispUnits/>
      </c:valAx>
      <c:spPr>
        <a:solidFill>
          <a:srgbClr val="C0C0C0"/>
        </a:solidFill>
        <a:ln w="12700">
          <a:solidFill>
            <a:srgbClr val="808080"/>
          </a:solidFill>
        </a:ln>
      </c:spPr>
    </c:plotArea>
    <c:legend>
      <c:legendPos val="r"/>
      <c:layout>
        <c:manualLayout>
          <c:xMode val="edge"/>
          <c:yMode val="edge"/>
          <c:x val="0.6805"/>
          <c:y val="0.191"/>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9</xdr:col>
      <xdr:colOff>552450</xdr:colOff>
      <xdr:row>23</xdr:row>
      <xdr:rowOff>19050</xdr:rowOff>
    </xdr:to>
    <xdr:graphicFrame>
      <xdr:nvGraphicFramePr>
        <xdr:cNvPr id="1" name="Chart 3"/>
        <xdr:cNvGraphicFramePr/>
      </xdr:nvGraphicFramePr>
      <xdr:xfrm>
        <a:off x="4714875" y="933450"/>
        <a:ext cx="3876675"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66675</xdr:rowOff>
    </xdr:from>
    <xdr:to>
      <xdr:col>12</xdr:col>
      <xdr:colOff>0</xdr:colOff>
      <xdr:row>33</xdr:row>
      <xdr:rowOff>0</xdr:rowOff>
    </xdr:to>
    <xdr:graphicFrame>
      <xdr:nvGraphicFramePr>
        <xdr:cNvPr id="1" name="Chart 1"/>
        <xdr:cNvGraphicFramePr/>
      </xdr:nvGraphicFramePr>
      <xdr:xfrm>
        <a:off x="381000" y="1552575"/>
        <a:ext cx="652462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2">
    <pageSetUpPr fitToPage="1"/>
  </sheetPr>
  <dimension ref="A1:CK38"/>
  <sheetViews>
    <sheetView workbookViewId="0" topLeftCell="A2">
      <selection activeCell="L2" sqref="L2"/>
    </sheetView>
  </sheetViews>
  <sheetFormatPr defaultColWidth="11.421875" defaultRowHeight="12.75"/>
  <cols>
    <col min="1" max="1" width="8.8515625" style="0" customWidth="1"/>
    <col min="2" max="2" width="4.8515625" style="0" customWidth="1"/>
    <col min="3" max="3" width="1.8515625" style="0" customWidth="1"/>
    <col min="4" max="4" width="11.421875" style="10" customWidth="1"/>
    <col min="5" max="5" width="10.7109375" style="10" customWidth="1"/>
    <col min="6" max="6" width="11.7109375" style="10" customWidth="1"/>
    <col min="7" max="7" width="9.7109375" style="114" customWidth="1"/>
    <col min="8" max="8" width="11.28125" style="0" customWidth="1"/>
    <col min="9" max="9" width="21.00390625" style="0" customWidth="1"/>
    <col min="10" max="10" width="12.28125" style="0" customWidth="1"/>
    <col min="11" max="11" width="18.28125" style="0" customWidth="1"/>
    <col min="12" max="12" width="12.28125" style="0" customWidth="1"/>
    <col min="14" max="14" width="11.421875" style="82" customWidth="1"/>
  </cols>
  <sheetData>
    <row r="1" spans="1:89" ht="13.5" hidden="1" thickBot="1">
      <c r="A1" s="82"/>
      <c r="B1" s="82" t="str">
        <f>IF('Countries Datas'!B1="","",'Countries Datas'!B1)</f>
        <v>France</v>
      </c>
      <c r="C1" s="82" t="str">
        <f>IF('Countries Datas'!C1="","",'Countries Datas'!C1)</f>
        <v>Spain</v>
      </c>
      <c r="D1" s="82" t="str">
        <f>IF('Countries Datas'!D1="","",'Countries Datas'!D1)</f>
        <v>Germany</v>
      </c>
      <c r="E1" s="82" t="str">
        <f>IF('Countries Datas'!E1="","",'Countries Datas'!E1)</f>
        <v>Denmark</v>
      </c>
      <c r="F1" s="82" t="str">
        <f>IF('Countries Datas'!F1="","",'Countries Datas'!F1)</f>
        <v>UK</v>
      </c>
      <c r="G1" s="82" t="str">
        <f>IF('Countries Datas'!G1="","",'Countries Datas'!G1)</f>
        <v>Italy</v>
      </c>
      <c r="H1" s="82" t="str">
        <f>IF('Countries Datas'!H1="","",'Countries Datas'!H1)</f>
        <v>Belgium</v>
      </c>
      <c r="I1" s="82" t="str">
        <f>IF('Countries Datas'!I1="","",'Countries Datas'!I1)</f>
        <v>Austria</v>
      </c>
      <c r="J1" s="82" t="str">
        <f>IF('Countries Datas'!J1="","",'Countries Datas'!J1)</f>
        <v>Ireland</v>
      </c>
      <c r="K1" s="82" t="str">
        <f>IF('Countries Datas'!K1="","",'Countries Datas'!K1)</f>
        <v>Greece</v>
      </c>
      <c r="L1" s="82" t="str">
        <f>IF('Countries Datas'!L1="","",'Countries Datas'!L1)</f>
        <v>Sweden</v>
      </c>
      <c r="M1" s="82" t="str">
        <f>IF('Countries Datas'!M1="","",'Countries Datas'!M1)</f>
        <v>Switzerland</v>
      </c>
      <c r="N1" s="82" t="str">
        <f>IF('Countries Datas'!N1="","",'Countries Datas'!N1)</f>
        <v>USA</v>
      </c>
      <c r="O1" s="82" t="str">
        <f>IF('Countries Datas'!O1="","",'Countries Datas'!O1)</f>
        <v>Canada</v>
      </c>
      <c r="P1" s="82" t="str">
        <f>IF('Countries Datas'!P1="","",'Countries Datas'!P1)</f>
        <v>Japan</v>
      </c>
      <c r="Q1" s="82" t="str">
        <f>IF('Countries Datas'!Q1="","",'Countries Datas'!Q1)</f>
        <v>China</v>
      </c>
      <c r="R1" s="82" t="str">
        <f>IF('Countries Datas'!R1="","",'Countries Datas'!R1)</f>
        <v>India</v>
      </c>
      <c r="S1" s="82" t="str">
        <f>IF('Countries Datas'!S1="","",'Countries Datas'!S1)</f>
        <v>Australia</v>
      </c>
      <c r="T1" s="82">
        <f>IF('Countries Datas'!T1="","",'Countries Datas'!T1)</f>
      </c>
      <c r="U1" s="82">
        <f>IF('Countries Datas'!U1="","",'Countries Datas'!U1)</f>
      </c>
      <c r="V1" s="82">
        <f>IF('Countries Datas'!V1="","",'Countries Datas'!V1)</f>
      </c>
      <c r="W1" s="82">
        <f>IF('Countries Datas'!W1="","",'Countries Datas'!W1)</f>
      </c>
      <c r="X1" s="82">
        <f>IF('Countries Datas'!X1="","",'Countries Datas'!X1)</f>
      </c>
      <c r="Y1" s="82">
        <f>IF('Countries Datas'!Y1="","",'Countries Datas'!Y1)</f>
      </c>
      <c r="Z1" s="82">
        <f>IF('Countries Datas'!Z1="","",'Countries Datas'!Z1)</f>
      </c>
      <c r="AA1" s="82">
        <f>IF('Countries Datas'!AA1="","",'Countries Datas'!AA1)</f>
      </c>
      <c r="AB1" s="82">
        <f>IF('Countries Datas'!AB1="","",'Countries Datas'!AB1)</f>
      </c>
      <c r="AC1" s="82">
        <f>IF('Countries Datas'!AC1="","",'Countries Datas'!AC1)</f>
      </c>
      <c r="AD1" s="82">
        <f>IF('Countries Datas'!AD1="","",'Countries Datas'!AD1)</f>
      </c>
      <c r="AE1" s="82">
        <f>IF('Countries Datas'!AE1="","",'Countries Datas'!AE1)</f>
      </c>
      <c r="AF1" s="82">
        <f>IF('Countries Datas'!AF1="","",'Countries Datas'!AF1)</f>
      </c>
      <c r="AG1" s="82">
        <f>IF('Countries Datas'!AG1="","",'Countries Datas'!AG1)</f>
      </c>
      <c r="AH1" s="82">
        <f>IF('Countries Datas'!AH1="","",'Countries Datas'!AH1)</f>
      </c>
      <c r="AI1" s="82">
        <f>IF('Countries Datas'!AI1="","",'Countries Datas'!AI1)</f>
      </c>
      <c r="AJ1" s="82">
        <f>IF('Countries Datas'!AJ1="","",'Countries Datas'!AJ1)</f>
      </c>
      <c r="AK1" s="82">
        <f>IF('Countries Datas'!AK1="","",'Countries Datas'!AK1)</f>
      </c>
      <c r="AL1" s="82">
        <f>IF('Countries Datas'!AL1="","",'Countries Datas'!AL1)</f>
      </c>
      <c r="AM1" s="82">
        <f>IF('Countries Datas'!AM1="","",'Countries Datas'!AM1)</f>
      </c>
      <c r="AN1" s="82">
        <f>IF('Countries Datas'!AN1="","",'Countries Datas'!AN1)</f>
      </c>
      <c r="AO1" s="82">
        <f>IF('Countries Datas'!AO1="","",'Countries Datas'!AO1)</f>
      </c>
      <c r="AP1" s="82">
        <f>IF('Countries Datas'!AP1="","",'Countries Datas'!AP1)</f>
      </c>
      <c r="AQ1" s="82">
        <f>IF('Countries Datas'!AQ1="","",'Countries Datas'!AQ1)</f>
      </c>
      <c r="AR1" s="82">
        <f>IF('Countries Datas'!AR1="","",'Countries Datas'!AR1)</f>
      </c>
      <c r="AS1" s="82">
        <f>IF('Countries Datas'!AS1="","",'Countries Datas'!AS1)</f>
      </c>
      <c r="AT1" s="82">
        <f>IF('Countries Datas'!AT1="","",'Countries Datas'!AT1)</f>
      </c>
      <c r="AU1" s="82">
        <f>IF('Countries Datas'!AU1="","",'Countries Datas'!AU1)</f>
      </c>
      <c r="AV1" s="82">
        <f>IF('Countries Datas'!AV1="","",'Countries Datas'!AV1)</f>
      </c>
      <c r="AW1" s="82">
        <f>IF('Countries Datas'!AW1="","",'Countries Datas'!AW1)</f>
      </c>
      <c r="AX1" s="82">
        <f>IF('Countries Datas'!AX1="","",'Countries Datas'!AX1)</f>
      </c>
      <c r="AY1" s="82">
        <f>IF('Countries Datas'!AY1="","",'Countries Datas'!AY1)</f>
      </c>
      <c r="AZ1" s="82">
        <f>IF('Countries Datas'!AZ1="","",'Countries Datas'!AZ1)</f>
      </c>
      <c r="BA1" s="82">
        <f>IF('Countries Datas'!BA1="","",'Countries Datas'!BA1)</f>
      </c>
      <c r="BB1" s="82">
        <f>IF('Countries Datas'!BB1="","",'Countries Datas'!BB1)</f>
      </c>
      <c r="BC1" s="82">
        <f>IF('Countries Datas'!BC1="","",'Countries Datas'!BC1)</f>
      </c>
      <c r="BD1" s="82">
        <f>IF('Countries Datas'!BD1="","",'Countries Datas'!BD1)</f>
      </c>
      <c r="BE1" s="82">
        <f>IF('Countries Datas'!BE1="","",'Countries Datas'!BE1)</f>
      </c>
      <c r="BF1" s="82">
        <f>IF('Countries Datas'!BF1="","",'Countries Datas'!BF1)</f>
      </c>
      <c r="BG1" s="82">
        <f>IF('Countries Datas'!BG1="","",'Countries Datas'!BG1)</f>
      </c>
      <c r="BH1" s="82">
        <f>IF('Countries Datas'!BH1="","",'Countries Datas'!BH1)</f>
      </c>
      <c r="BI1" s="82">
        <f>IF('Countries Datas'!BI1="","",'Countries Datas'!BI1)</f>
      </c>
      <c r="BJ1" s="82">
        <f>IF('Countries Datas'!BJ1="","",'Countries Datas'!BJ1)</f>
      </c>
      <c r="BK1" s="82">
        <f>IF('Countries Datas'!BK1="","",'Countries Datas'!BK1)</f>
      </c>
      <c r="BL1" s="82">
        <f>IF('Countries Datas'!BL1="","",'Countries Datas'!BL1)</f>
      </c>
      <c r="BM1" s="82">
        <f>IF('Countries Datas'!BM1="","",'Countries Datas'!BM1)</f>
      </c>
      <c r="BN1" s="82">
        <f>IF('Countries Datas'!BN1="","",'Countries Datas'!BN1)</f>
      </c>
      <c r="BO1" s="82">
        <f>IF('Countries Datas'!BO1="","",'Countries Datas'!BO1)</f>
      </c>
      <c r="BP1" s="82">
        <f>IF('Countries Datas'!BP1="","",'Countries Datas'!BP1)</f>
      </c>
      <c r="BQ1" s="82">
        <f>IF('Countries Datas'!BQ1="","",'Countries Datas'!BQ1)</f>
      </c>
      <c r="BR1" s="82">
        <f>IF('Countries Datas'!BR1="","",'Countries Datas'!BR1)</f>
      </c>
      <c r="BS1" s="82">
        <f>IF('Countries Datas'!BS1="","",'Countries Datas'!BS1)</f>
      </c>
      <c r="BT1" s="82">
        <f>IF('Countries Datas'!BT1="","",'Countries Datas'!BT1)</f>
      </c>
      <c r="BU1" s="82">
        <f>IF('Countries Datas'!BU1="","",'Countries Datas'!BU1)</f>
      </c>
      <c r="BV1" s="82">
        <f>IF('Countries Datas'!BV1="","",'Countries Datas'!BV1)</f>
      </c>
      <c r="BW1" s="82">
        <f>IF('Countries Datas'!BW1="","",'Countries Datas'!BW1)</f>
      </c>
      <c r="BX1" s="82">
        <f>IF('Countries Datas'!BX1="","",'Countries Datas'!BX1)</f>
      </c>
      <c r="BY1" s="82">
        <f>IF('Countries Datas'!BY1="","",'Countries Datas'!BY1)</f>
      </c>
      <c r="BZ1" s="82">
        <f>IF('Countries Datas'!BZ1="","",'Countries Datas'!BZ1)</f>
      </c>
      <c r="CA1" s="82"/>
      <c r="CB1" s="82"/>
      <c r="CC1" s="82"/>
      <c r="CD1" s="82"/>
      <c r="CE1" s="82"/>
      <c r="CF1" s="82"/>
      <c r="CG1" s="82"/>
      <c r="CH1" s="82"/>
      <c r="CI1" s="82"/>
      <c r="CJ1" s="82"/>
      <c r="CK1" s="82"/>
    </row>
    <row r="2" spans="1:12" ht="18.75" thickBot="1">
      <c r="A2" s="221" t="s">
        <v>115</v>
      </c>
      <c r="B2" s="222"/>
      <c r="C2" s="223"/>
      <c r="D2" s="223"/>
      <c r="E2" s="252" t="s">
        <v>32</v>
      </c>
      <c r="F2" s="253"/>
      <c r="J2" s="207"/>
      <c r="L2" s="236" t="s">
        <v>133</v>
      </c>
    </row>
    <row r="3" ht="18">
      <c r="A3" s="215"/>
    </row>
    <row r="5" spans="4:14" ht="18.75" thickBot="1">
      <c r="D5" s="21" t="s">
        <v>47</v>
      </c>
      <c r="G5" s="110" t="s">
        <v>72</v>
      </c>
      <c r="H5" s="11"/>
      <c r="I5" s="11" t="s">
        <v>6</v>
      </c>
      <c r="J5" s="10"/>
      <c r="K5" s="11" t="s">
        <v>12</v>
      </c>
      <c r="L5" s="10"/>
      <c r="M5" s="10"/>
      <c r="N5" s="55"/>
    </row>
    <row r="6" spans="1:14" ht="12.75">
      <c r="A6" s="254" t="s">
        <v>69</v>
      </c>
      <c r="B6" s="255"/>
      <c r="C6" s="209"/>
      <c r="D6" s="13" t="str">
        <f>'Countries Datas'!A3</f>
        <v>Carbon</v>
      </c>
      <c r="E6" s="12"/>
      <c r="F6" s="154">
        <f>HLOOKUP(Consumption!$E$2,'Countries Datas'!$A:$XFD,3,FALSE)*(1+$B$9)</f>
        <v>4439</v>
      </c>
      <c r="G6" s="171">
        <v>0</v>
      </c>
      <c r="H6" s="13">
        <f>F6*(1-G6)</f>
        <v>4439</v>
      </c>
      <c r="I6" s="56">
        <v>0</v>
      </c>
      <c r="J6" s="154">
        <f>H6*(1-I6)</f>
        <v>4439</v>
      </c>
      <c r="K6" s="153">
        <v>0</v>
      </c>
      <c r="L6" s="154">
        <f>J6*(1-K6)</f>
        <v>4439</v>
      </c>
      <c r="M6" s="10"/>
      <c r="N6" s="55"/>
    </row>
    <row r="7" spans="1:14" ht="12.75">
      <c r="A7" s="148" t="s">
        <v>70</v>
      </c>
      <c r="B7" s="149">
        <v>0</v>
      </c>
      <c r="C7" s="210"/>
      <c r="D7" s="14" t="str">
        <f>'Countries Datas'!A4</f>
        <v>Oil</v>
      </c>
      <c r="E7" s="14"/>
      <c r="F7" s="155">
        <f>HLOOKUP(Consumption!$E$2,'Countries Datas'!$A:$XFD,4,FALSE)*(1+$B$9)</f>
        <v>6349</v>
      </c>
      <c r="G7" s="172">
        <v>0</v>
      </c>
      <c r="H7" s="15">
        <f>F7*(1-G7)</f>
        <v>6349</v>
      </c>
      <c r="I7" s="56">
        <v>0</v>
      </c>
      <c r="J7" s="155">
        <f>H7*(1-I7)</f>
        <v>6349</v>
      </c>
      <c r="K7" s="153">
        <v>0</v>
      </c>
      <c r="L7" s="155">
        <f>J7*(1-K7)</f>
        <v>6349</v>
      </c>
      <c r="M7" s="10"/>
      <c r="N7" s="55"/>
    </row>
    <row r="8" spans="1:14" ht="12.75">
      <c r="A8" s="148" t="s">
        <v>71</v>
      </c>
      <c r="B8" s="150">
        <v>0.02</v>
      </c>
      <c r="C8" s="211"/>
      <c r="D8" s="8" t="str">
        <f>'Countries Datas'!A5</f>
        <v>Gas</v>
      </c>
      <c r="E8" s="8"/>
      <c r="F8" s="156">
        <f>HLOOKUP(Consumption!$E$2,'Countries Datas'!$A:$XFD,5,FALSE)*(1+$B$9)</f>
        <v>12699</v>
      </c>
      <c r="G8" s="173">
        <v>0</v>
      </c>
      <c r="H8" s="6">
        <f>F8*(1-G8)</f>
        <v>12699</v>
      </c>
      <c r="I8" s="56">
        <v>0</v>
      </c>
      <c r="J8" s="156">
        <f>H8*(1-I8)</f>
        <v>12699</v>
      </c>
      <c r="K8" s="153">
        <v>0</v>
      </c>
      <c r="L8" s="156">
        <f>J8*(1-K8)</f>
        <v>12699</v>
      </c>
      <c r="M8" s="10"/>
      <c r="N8" s="55"/>
    </row>
    <row r="9" spans="1:14" ht="13.5" thickBot="1">
      <c r="A9" s="151" t="s">
        <v>23</v>
      </c>
      <c r="B9" s="152">
        <f>(1+B8)^B7-1</f>
        <v>0</v>
      </c>
      <c r="C9" s="212"/>
      <c r="D9" s="7" t="str">
        <f>'Countries Datas'!A6</f>
        <v>Bio. Wood</v>
      </c>
      <c r="E9" s="7"/>
      <c r="F9" s="157">
        <f>HLOOKUP(Consumption!$E$2,'Countries Datas'!$A:$XFD,6,FALSE)*(1+$B$9)</f>
        <v>1335</v>
      </c>
      <c r="G9" s="174">
        <v>0</v>
      </c>
      <c r="H9" s="16">
        <f>F9*(1-G9)</f>
        <v>1335</v>
      </c>
      <c r="I9" s="57"/>
      <c r="J9" s="159">
        <f>H9+I6*H6+I7*H7+I8*H8</f>
        <v>1335</v>
      </c>
      <c r="K9" s="5"/>
      <c r="L9" s="157">
        <f>J9</f>
        <v>1335</v>
      </c>
      <c r="M9" s="10"/>
      <c r="N9" s="55"/>
    </row>
    <row r="10" spans="4:14" ht="12.75">
      <c r="D10" s="17" t="str">
        <f>'Countries Datas'!A7</f>
        <v>Electricity</v>
      </c>
      <c r="E10" s="17"/>
      <c r="F10" s="176">
        <f>HLOOKUP(Consumption!$E$2,'Countries Datas'!$A:$XFD,7,FALSE)*(1+$B$9)</f>
        <v>11429</v>
      </c>
      <c r="G10" s="175">
        <v>0</v>
      </c>
      <c r="H10" s="5">
        <f>F10*(1-G10)</f>
        <v>11429</v>
      </c>
      <c r="I10" s="19"/>
      <c r="J10" s="5">
        <f>H10</f>
        <v>11429</v>
      </c>
      <c r="K10" s="5"/>
      <c r="L10" s="158">
        <f>J10+K6*J6+K7*J7+K8*J8</f>
        <v>11429</v>
      </c>
      <c r="M10" s="10"/>
      <c r="N10" s="55"/>
    </row>
    <row r="11" spans="4:14" ht="13.5" thickBot="1">
      <c r="D11" s="2"/>
      <c r="E11" s="2"/>
      <c r="F11" s="23">
        <f>SUM(F6:F10)</f>
        <v>36251</v>
      </c>
      <c r="G11" s="111"/>
      <c r="H11" s="23">
        <f>SUM(H6:H10)</f>
        <v>36251</v>
      </c>
      <c r="I11" s="23"/>
      <c r="J11" s="23">
        <f>SUM(J6:J10)</f>
        <v>36251</v>
      </c>
      <c r="K11" s="23"/>
      <c r="L11" s="24">
        <f>SUM(L6:L10)</f>
        <v>36251</v>
      </c>
      <c r="M11" s="10"/>
      <c r="N11" s="55"/>
    </row>
    <row r="12" spans="4:14" ht="12.75">
      <c r="D12" s="22"/>
      <c r="E12" s="22"/>
      <c r="F12" s="22"/>
      <c r="G12" s="112"/>
      <c r="H12" s="22"/>
      <c r="I12" s="22"/>
      <c r="J12" s="22"/>
      <c r="K12" s="22"/>
      <c r="L12" s="22"/>
      <c r="M12" s="10"/>
      <c r="N12" s="55"/>
    </row>
    <row r="13" spans="4:14" ht="18.75" thickBot="1">
      <c r="D13" s="21" t="s">
        <v>123</v>
      </c>
      <c r="G13" s="110" t="s">
        <v>72</v>
      </c>
      <c r="H13" s="10"/>
      <c r="I13" s="11" t="s">
        <v>7</v>
      </c>
      <c r="J13" s="10"/>
      <c r="K13" s="11" t="s">
        <v>13</v>
      </c>
      <c r="L13" s="160">
        <f>Parameters!C23</f>
        <v>0.3</v>
      </c>
      <c r="M13" s="10"/>
      <c r="N13" s="55"/>
    </row>
    <row r="14" spans="1:14" ht="12.75">
      <c r="A14" s="254" t="s">
        <v>69</v>
      </c>
      <c r="B14" s="255"/>
      <c r="C14" s="209"/>
      <c r="D14" s="15" t="str">
        <f>'Countries Datas'!A10</f>
        <v>Jet Fuel</v>
      </c>
      <c r="E14" s="14"/>
      <c r="F14" s="155">
        <f>HLOOKUP(Consumption!$E$2,'Countries Datas'!$A:$XFD,10,FALSE)*(1+$B$17)</f>
        <v>6490</v>
      </c>
      <c r="G14" s="172">
        <v>0</v>
      </c>
      <c r="H14" s="15">
        <f>F14*(1-G14)</f>
        <v>6490</v>
      </c>
      <c r="I14" s="56">
        <v>0</v>
      </c>
      <c r="J14" s="154">
        <f>H14*(1-I14)</f>
        <v>6490</v>
      </c>
      <c r="K14" s="19"/>
      <c r="L14" s="15">
        <f>J14</f>
        <v>6490</v>
      </c>
      <c r="M14" s="10"/>
      <c r="N14" s="55"/>
    </row>
    <row r="15" spans="1:14" ht="12.75">
      <c r="A15" s="148" t="s">
        <v>70</v>
      </c>
      <c r="B15" s="149">
        <v>0</v>
      </c>
      <c r="C15" s="210"/>
      <c r="D15" s="14" t="str">
        <f>'Countries Datas'!A11</f>
        <v>Diesel</v>
      </c>
      <c r="E15" s="14"/>
      <c r="F15" s="155">
        <f>HLOOKUP(Consumption!$E$2,'Countries Datas'!$A:$XFD,11,FALSE)*(1+$B$17)</f>
        <v>30435</v>
      </c>
      <c r="G15" s="172">
        <v>0</v>
      </c>
      <c r="H15" s="15">
        <f>F15*(1-G15)</f>
        <v>30435</v>
      </c>
      <c r="I15" s="56">
        <v>0</v>
      </c>
      <c r="J15" s="155">
        <f>H15*(1-I15)</f>
        <v>30435</v>
      </c>
      <c r="K15" s="153">
        <v>0</v>
      </c>
      <c r="L15" s="155">
        <f>J15*(1-K15)</f>
        <v>30435</v>
      </c>
      <c r="M15" s="10"/>
      <c r="N15" s="55"/>
    </row>
    <row r="16" spans="1:14" ht="12.75">
      <c r="A16" s="148" t="s">
        <v>71</v>
      </c>
      <c r="B16" s="150">
        <v>0.02</v>
      </c>
      <c r="C16" s="211"/>
      <c r="D16" s="14" t="str">
        <f>'Countries Datas'!A12</f>
        <v>Motor spirit</v>
      </c>
      <c r="E16" s="14"/>
      <c r="F16" s="155">
        <f>HLOOKUP(Consumption!$E$2,'Countries Datas'!$A:$XFD,12,FALSE)*(1+$B$17)</f>
        <v>12757</v>
      </c>
      <c r="G16" s="172">
        <v>0</v>
      </c>
      <c r="H16" s="15">
        <f>F16*(1-G16)</f>
        <v>12757</v>
      </c>
      <c r="I16" s="56">
        <v>0</v>
      </c>
      <c r="J16" s="156">
        <f>H16*(1-I16)</f>
        <v>12757</v>
      </c>
      <c r="K16" s="153">
        <v>0</v>
      </c>
      <c r="L16" s="155">
        <f>J16*(1-K16)</f>
        <v>12757</v>
      </c>
      <c r="M16" s="10"/>
      <c r="N16" s="83"/>
    </row>
    <row r="17" spans="1:14" ht="13.5" thickBot="1">
      <c r="A17" s="151" t="s">
        <v>23</v>
      </c>
      <c r="B17" s="152">
        <f>(1+B16)^B15-1</f>
        <v>0</v>
      </c>
      <c r="C17" s="212"/>
      <c r="D17" s="7" t="str">
        <f>'Countries Datas'!A13</f>
        <v>Biomasse wood</v>
      </c>
      <c r="E17" s="7"/>
      <c r="F17" s="157">
        <f>HLOOKUP(Consumption!$E$2,'Countries Datas'!$A:$XFD,13,FALSE)*(1+$B$17)</f>
        <v>325</v>
      </c>
      <c r="G17" s="174">
        <v>0</v>
      </c>
      <c r="H17" s="16">
        <f>F17*(1-G17)</f>
        <v>325</v>
      </c>
      <c r="I17" s="58"/>
      <c r="J17" s="16">
        <f>H17</f>
        <v>325</v>
      </c>
      <c r="K17" s="17"/>
      <c r="L17" s="16">
        <f>H17</f>
        <v>325</v>
      </c>
      <c r="M17" s="10"/>
      <c r="N17" s="55"/>
    </row>
    <row r="18" spans="4:14" ht="12.75">
      <c r="D18" s="7"/>
      <c r="E18" s="7"/>
      <c r="F18" s="157"/>
      <c r="G18" s="174"/>
      <c r="H18" s="16"/>
      <c r="I18" s="58"/>
      <c r="J18" s="159">
        <f>I14*H14+H15*I15+H16*I16</f>
        <v>0</v>
      </c>
      <c r="K18" s="17"/>
      <c r="L18" s="16">
        <f>J18</f>
        <v>0</v>
      </c>
      <c r="M18" s="10"/>
      <c r="N18" s="55"/>
    </row>
    <row r="19" spans="4:14" ht="12.75">
      <c r="D19" s="5" t="str">
        <f>'Countries Datas'!A14</f>
        <v>Electricity</v>
      </c>
      <c r="E19" s="17"/>
      <c r="F19" s="176">
        <f>HLOOKUP(Consumption!$E$2,'Countries Datas'!$A:$XFD,14,FALSE)*(1+$B$17)</f>
        <v>1034</v>
      </c>
      <c r="G19" s="175">
        <v>0</v>
      </c>
      <c r="H19" s="5">
        <f>F19*(1-G19)</f>
        <v>1034</v>
      </c>
      <c r="I19" s="19"/>
      <c r="J19" s="5">
        <f>H19</f>
        <v>1034</v>
      </c>
      <c r="K19" s="5"/>
      <c r="L19" s="161">
        <f>(K15*J15+K16*J16)/L13+J19</f>
        <v>1034</v>
      </c>
      <c r="M19" s="10"/>
      <c r="N19" s="55"/>
    </row>
    <row r="20" spans="4:14" ht="13.5" thickBot="1">
      <c r="D20" s="2"/>
      <c r="E20" s="2"/>
      <c r="F20" s="23">
        <f>SUM(F14:F19)</f>
        <v>51041</v>
      </c>
      <c r="G20" s="113"/>
      <c r="H20" s="23">
        <f>SUM(H14:H19)</f>
        <v>51041</v>
      </c>
      <c r="I20" s="2"/>
      <c r="J20" s="23">
        <f>SUM(J14:J19)</f>
        <v>51041</v>
      </c>
      <c r="K20" s="2"/>
      <c r="L20" s="24">
        <f>SUM(L14:L19)</f>
        <v>51041</v>
      </c>
      <c r="M20" s="10"/>
      <c r="N20" s="55"/>
    </row>
    <row r="21" spans="8:14" ht="12.75">
      <c r="H21" s="10"/>
      <c r="I21" s="10"/>
      <c r="J21" s="10"/>
      <c r="K21" s="25" t="s">
        <v>9</v>
      </c>
      <c r="L21" s="26">
        <f>L20-F20</f>
        <v>0</v>
      </c>
      <c r="M21" s="10"/>
      <c r="N21" s="55"/>
    </row>
    <row r="22" spans="4:14" ht="18.75" thickBot="1">
      <c r="D22" s="21" t="s">
        <v>122</v>
      </c>
      <c r="G22" s="110" t="s">
        <v>72</v>
      </c>
      <c r="H22" s="10"/>
      <c r="I22" s="11" t="s">
        <v>8</v>
      </c>
      <c r="J22" s="165"/>
      <c r="K22" s="165"/>
      <c r="L22" s="165"/>
      <c r="M22" s="10"/>
      <c r="N22" s="55"/>
    </row>
    <row r="23" spans="1:14" ht="12.75">
      <c r="A23" s="254" t="s">
        <v>69</v>
      </c>
      <c r="B23" s="255"/>
      <c r="C23" s="213"/>
      <c r="D23" s="13" t="str">
        <f>'Countries Datas'!A17</f>
        <v>Carbon</v>
      </c>
      <c r="E23" s="12"/>
      <c r="F23" s="13">
        <f>HLOOKUP(Consumption!$E$2,'Countries Datas'!$A:$XFD,17,FALSE)*(1+$B$26)</f>
        <v>422</v>
      </c>
      <c r="G23" s="177">
        <v>0</v>
      </c>
      <c r="H23" s="13">
        <f>F23*(1-G23)</f>
        <v>422</v>
      </c>
      <c r="I23" s="41"/>
      <c r="J23" s="43"/>
      <c r="K23" s="43"/>
      <c r="L23" s="43">
        <f>H23</f>
        <v>422</v>
      </c>
      <c r="M23" s="10"/>
      <c r="N23" s="55"/>
    </row>
    <row r="24" spans="1:14" ht="12.75">
      <c r="A24" s="148" t="s">
        <v>70</v>
      </c>
      <c r="B24" s="149">
        <v>0</v>
      </c>
      <c r="C24" s="210"/>
      <c r="D24" s="14" t="str">
        <f>'Countries Datas'!A18</f>
        <v>Gas Oil</v>
      </c>
      <c r="E24" s="14"/>
      <c r="F24" s="15">
        <f>HLOOKUP(Consumption!$E$2,'Countries Datas'!$A:$XFD,18,FALSE)*(1+$B$26)</f>
        <v>14748</v>
      </c>
      <c r="G24" s="178">
        <v>0</v>
      </c>
      <c r="H24" s="15">
        <f>F24*(1-G24)</f>
        <v>14748</v>
      </c>
      <c r="I24" s="41"/>
      <c r="J24" s="44"/>
      <c r="K24" s="44"/>
      <c r="L24" s="44">
        <f>H24</f>
        <v>14748</v>
      </c>
      <c r="M24" s="10"/>
      <c r="N24" s="55"/>
    </row>
    <row r="25" spans="1:14" ht="12.75">
      <c r="A25" s="148" t="s">
        <v>71</v>
      </c>
      <c r="B25" s="150">
        <v>0.02</v>
      </c>
      <c r="C25" s="211"/>
      <c r="D25" s="8" t="str">
        <f>'Countries Datas'!A19</f>
        <v>Natural Gas</v>
      </c>
      <c r="E25" s="8"/>
      <c r="F25" s="6">
        <f>HLOOKUP(Consumption!$E$2,'Countries Datas'!$A:$XFD,19,FALSE)*(1+$B$26)</f>
        <v>20274</v>
      </c>
      <c r="G25" s="179">
        <v>0</v>
      </c>
      <c r="H25" s="6">
        <f>F25*(1-G25)</f>
        <v>20274</v>
      </c>
      <c r="I25" s="123"/>
      <c r="J25" s="166"/>
      <c r="K25" s="166"/>
      <c r="L25" s="45">
        <f>H25</f>
        <v>20274</v>
      </c>
      <c r="M25" s="10"/>
      <c r="N25" s="55"/>
    </row>
    <row r="26" spans="1:14" ht="13.5" thickBot="1">
      <c r="A26" s="151" t="s">
        <v>23</v>
      </c>
      <c r="B26" s="152">
        <f>(1+B25)^B24-1</f>
        <v>0</v>
      </c>
      <c r="C26" s="212"/>
      <c r="D26" s="7" t="str">
        <f>'Countries Datas'!A20</f>
        <v>Biomass Wood</v>
      </c>
      <c r="E26" s="7"/>
      <c r="F26" s="16">
        <f>HLOOKUP(Consumption!$E$2,'Countries Datas'!$A:$XFD,20,FALSE)*(1+$B$26)</f>
        <v>8213</v>
      </c>
      <c r="G26" s="180">
        <v>0</v>
      </c>
      <c r="H26" s="16">
        <f>F26*(1-G26)</f>
        <v>8213</v>
      </c>
      <c r="I26" s="123"/>
      <c r="J26" s="46"/>
      <c r="K26" s="46"/>
      <c r="L26" s="46">
        <f>H26</f>
        <v>8213</v>
      </c>
      <c r="M26" s="10"/>
      <c r="N26" s="55"/>
    </row>
    <row r="27" spans="4:14" ht="12.75">
      <c r="D27" s="17" t="str">
        <f>'Countries Datas'!A21</f>
        <v>Electricity</v>
      </c>
      <c r="E27" s="17"/>
      <c r="F27" s="5">
        <f>HLOOKUP(Consumption!$E$2,'Countries Datas'!$A:$XFD,21,FALSE)*(1+$B$26)</f>
        <v>22656</v>
      </c>
      <c r="G27" s="181">
        <v>0</v>
      </c>
      <c r="H27" s="5">
        <f>F27*(1-G27)</f>
        <v>22656</v>
      </c>
      <c r="I27" s="56">
        <v>0</v>
      </c>
      <c r="J27" s="88"/>
      <c r="K27" s="88"/>
      <c r="L27" s="167">
        <f>H27*(1-I27)</f>
        <v>22656</v>
      </c>
      <c r="M27" s="10"/>
      <c r="N27" s="55"/>
    </row>
    <row r="28" spans="4:14" ht="12.75">
      <c r="D28" s="7" t="s">
        <v>88</v>
      </c>
      <c r="E28" s="7"/>
      <c r="F28" s="16"/>
      <c r="G28" s="180"/>
      <c r="H28" s="16"/>
      <c r="I28" s="168"/>
      <c r="J28" s="168"/>
      <c r="K28" s="168"/>
      <c r="L28" s="169">
        <f>H27*I27</f>
        <v>0</v>
      </c>
      <c r="M28" s="10"/>
      <c r="N28" s="55"/>
    </row>
    <row r="29" spans="4:14" ht="13.5" thickBot="1">
      <c r="D29" s="2"/>
      <c r="E29" s="2"/>
      <c r="F29" s="23">
        <f>SUM(F23:F28)</f>
        <v>66313</v>
      </c>
      <c r="G29" s="113"/>
      <c r="H29" s="23">
        <f>SUM(H23:H28)</f>
        <v>66313</v>
      </c>
      <c r="I29" s="170"/>
      <c r="J29" s="170"/>
      <c r="K29" s="170"/>
      <c r="L29" s="24">
        <f>SUM(L23:L28)</f>
        <v>66313</v>
      </c>
      <c r="M29" s="10"/>
      <c r="N29" s="55"/>
    </row>
    <row r="30" spans="8:14" ht="12.75">
      <c r="H30" s="10"/>
      <c r="I30" s="165"/>
      <c r="J30" s="165"/>
      <c r="K30" s="165"/>
      <c r="L30" s="165"/>
      <c r="M30" s="10"/>
      <c r="N30" s="55"/>
    </row>
    <row r="31" spans="8:14" ht="13.5" thickBot="1">
      <c r="H31" s="10"/>
      <c r="I31" s="10"/>
      <c r="J31" s="10"/>
      <c r="K31" s="10"/>
      <c r="L31" s="10"/>
      <c r="M31" s="10"/>
      <c r="N31" s="55"/>
    </row>
    <row r="32" spans="7:14" ht="18.75" thickBot="1">
      <c r="G32" s="115"/>
      <c r="H32" s="216"/>
      <c r="I32" s="217"/>
      <c r="J32" s="162" t="s">
        <v>10</v>
      </c>
      <c r="K32" s="163">
        <f>L29+L20+L11</f>
        <v>153605</v>
      </c>
      <c r="L32" s="164" t="s">
        <v>2</v>
      </c>
      <c r="N32" s="55"/>
    </row>
    <row r="33" spans="1:14" ht="12.75">
      <c r="A33" s="208" t="s">
        <v>76</v>
      </c>
      <c r="H33" s="10"/>
      <c r="I33" s="10"/>
      <c r="J33" s="10"/>
      <c r="K33" s="10"/>
      <c r="L33" s="10"/>
      <c r="M33" s="10"/>
      <c r="N33" s="55"/>
    </row>
    <row r="34" spans="8:14" ht="12.75">
      <c r="H34" s="10"/>
      <c r="I34" s="10"/>
      <c r="J34" s="10"/>
      <c r="K34" s="10"/>
      <c r="L34" s="10"/>
      <c r="M34" s="10"/>
      <c r="N34" s="55"/>
    </row>
    <row r="35" spans="8:14" ht="12.75">
      <c r="H35" s="10"/>
      <c r="I35" s="10"/>
      <c r="J35" s="10"/>
      <c r="K35" s="10"/>
      <c r="L35" s="10"/>
      <c r="M35" s="10"/>
      <c r="N35" s="55"/>
    </row>
    <row r="36" ht="12.75">
      <c r="N36" s="55"/>
    </row>
    <row r="37" ht="12.75">
      <c r="N37" s="55"/>
    </row>
    <row r="38" ht="12.75">
      <c r="N38" s="55"/>
    </row>
  </sheetData>
  <mergeCells count="4">
    <mergeCell ref="E2:F2"/>
    <mergeCell ref="A6:B6"/>
    <mergeCell ref="A14:B14"/>
    <mergeCell ref="A23:B23"/>
  </mergeCells>
  <dataValidations count="1">
    <dataValidation type="list" allowBlank="1" showInputMessage="1" showErrorMessage="1" promptTitle="Choose the Country" sqref="E2">
      <formula1>$B$1:$AZ$1</formula1>
    </dataValidation>
  </dataValidations>
  <printOptions horizontalCentered="1"/>
  <pageMargins left="0.7874015748031497" right="0.5905511811023623" top="0.7874015748031497" bottom="0.7874015748031497" header="0" footer="0"/>
  <pageSetup fitToHeight="1" fitToWidth="1" horizontalDpi="600" verticalDpi="600" orientation="landscape" paperSize="9" scale="81" r:id="rId1"/>
  <ignoredErrors>
    <ignoredError sqref="J18" formula="1"/>
  </ignoredErrors>
</worksheet>
</file>

<file path=xl/worksheets/sheet2.xml><?xml version="1.0" encoding="utf-8"?>
<worksheet xmlns="http://schemas.openxmlformats.org/spreadsheetml/2006/main" xmlns:r="http://schemas.openxmlformats.org/officeDocument/2006/relationships">
  <sheetPr codeName="Hoja3">
    <pageSetUpPr fitToPage="1"/>
  </sheetPr>
  <dimension ref="A1:N24"/>
  <sheetViews>
    <sheetView workbookViewId="0" topLeftCell="A1">
      <selection activeCell="G4" sqref="G4"/>
    </sheetView>
  </sheetViews>
  <sheetFormatPr defaultColWidth="11.421875" defaultRowHeight="12.75"/>
  <cols>
    <col min="1" max="1" width="18.7109375" style="0" customWidth="1"/>
    <col min="2" max="2" width="5.421875" style="0" customWidth="1"/>
    <col min="4" max="4" width="0.85546875" style="18" customWidth="1"/>
    <col min="6" max="6" width="0.85546875" style="0" customWidth="1"/>
    <col min="7" max="7" width="14.140625" style="0" customWidth="1"/>
    <col min="8" max="8" width="18.140625" style="0" customWidth="1"/>
    <col min="9" max="9" width="1.28515625" style="0" customWidth="1"/>
    <col min="10" max="10" width="16.7109375" style="0" customWidth="1"/>
  </cols>
  <sheetData>
    <row r="1" spans="1:12" ht="18.75" thickBot="1">
      <c r="A1" s="221" t="s">
        <v>65</v>
      </c>
      <c r="B1" s="224" t="str">
        <f>Consumption!E2</f>
        <v>France</v>
      </c>
      <c r="C1" s="223"/>
      <c r="D1" s="223"/>
      <c r="E1" s="225"/>
      <c r="L1" s="236" t="s">
        <v>132</v>
      </c>
    </row>
    <row r="2" spans="1:2" ht="18">
      <c r="A2" s="215"/>
      <c r="B2" s="215"/>
    </row>
    <row r="3" ht="12.75"/>
    <row r="4" spans="1:14" ht="18">
      <c r="A4" s="21" t="s">
        <v>99</v>
      </c>
      <c r="C4" s="1"/>
      <c r="D4" s="63"/>
      <c r="E4" s="1"/>
      <c r="F4" s="1"/>
      <c r="H4" s="203">
        <f>Consumption!L10+Consumption!L19+Consumption!L27</f>
        <v>35119</v>
      </c>
      <c r="I4" s="66" t="s">
        <v>2</v>
      </c>
      <c r="N4" s="82"/>
    </row>
    <row r="5" ht="12.75"/>
    <row r="6" spans="1:11" ht="12.75">
      <c r="A6" s="1" t="s">
        <v>100</v>
      </c>
      <c r="B6" s="1"/>
      <c r="C6" s="59" t="s">
        <v>19</v>
      </c>
      <c r="D6" s="64"/>
      <c r="E6" s="1" t="s">
        <v>21</v>
      </c>
      <c r="G6" s="1" t="s">
        <v>103</v>
      </c>
      <c r="H6" s="1" t="s">
        <v>104</v>
      </c>
      <c r="J6" s="1" t="s">
        <v>105</v>
      </c>
      <c r="K6" s="104" t="s">
        <v>106</v>
      </c>
    </row>
    <row r="7" spans="1:11" ht="12.75">
      <c r="A7" s="60" t="s">
        <v>48</v>
      </c>
      <c r="B7" s="60"/>
      <c r="C7" s="218">
        <f>HLOOKUP(Consumption!$E$2,'Countries Datas'!$A:$XFD,24,FALSE)</f>
        <v>0.04286476842186023</v>
      </c>
      <c r="D7" s="32"/>
      <c r="E7" s="86">
        <f>H$4*C7</f>
        <v>1505.3678022073095</v>
      </c>
      <c r="G7" s="3">
        <f>E7*Parameters!C$20</f>
        <v>88.00138553767286</v>
      </c>
      <c r="H7" s="3">
        <f>E7*Parameters!C$21</f>
        <v>154.3244486884786</v>
      </c>
      <c r="J7" s="182">
        <f>E7+G7+H7</f>
        <v>1747.693636433461</v>
      </c>
      <c r="K7" s="105">
        <f>E7/$E$18</f>
        <v>0.04286476842186023</v>
      </c>
    </row>
    <row r="8" spans="1:11" ht="12.75">
      <c r="A8" s="60" t="s">
        <v>50</v>
      </c>
      <c r="B8" s="60"/>
      <c r="C8" s="218">
        <f>HLOOKUP(Consumption!$E$2,'Countries Datas'!$A:$XFD,25,FALSE)</f>
        <v>0.033671182384619025</v>
      </c>
      <c r="D8" s="32"/>
      <c r="E8" s="86">
        <f aca="true" t="shared" si="0" ref="E8:E17">H$4*C8</f>
        <v>1182.4982541654356</v>
      </c>
      <c r="G8" s="3">
        <f>E8*Parameters!C$20</f>
        <v>69.12694997850558</v>
      </c>
      <c r="H8" s="3">
        <f>E8*Parameters!C$21</f>
        <v>121.22511912476669</v>
      </c>
      <c r="J8" s="182">
        <f aca="true" t="shared" si="1" ref="J8:J16">E8+G8+H8</f>
        <v>1372.8503232687078</v>
      </c>
      <c r="K8" s="105">
        <f>E8/$E$18</f>
        <v>0.033671182384619025</v>
      </c>
    </row>
    <row r="9" spans="1:11" ht="12.75">
      <c r="A9" s="60" t="s">
        <v>49</v>
      </c>
      <c r="B9" s="60"/>
      <c r="C9" s="218">
        <f>HLOOKUP(Consumption!$E$2,'Countries Datas'!$A:$XFD,26,FALSE)</f>
        <v>0.014157665429863811</v>
      </c>
      <c r="D9" s="32"/>
      <c r="E9" s="86">
        <f t="shared" si="0"/>
        <v>497.2030522313872</v>
      </c>
      <c r="G9" s="3">
        <f>E9*Parameters!C$20</f>
        <v>29.065692401395207</v>
      </c>
      <c r="H9" s="3">
        <f>E9*Parameters!C$21</f>
        <v>50.97132196485681</v>
      </c>
      <c r="J9" s="182">
        <f t="shared" si="1"/>
        <v>577.2400665976392</v>
      </c>
      <c r="K9" s="105">
        <f>E9/$E$18</f>
        <v>0.014157665429863811</v>
      </c>
    </row>
    <row r="10" spans="1:12" ht="5.25" customHeight="1">
      <c r="A10" s="61"/>
      <c r="B10" s="61"/>
      <c r="C10" s="65"/>
      <c r="D10" s="65"/>
      <c r="E10" s="65"/>
      <c r="F10" s="65"/>
      <c r="G10" s="65"/>
      <c r="H10" s="65"/>
      <c r="I10" s="65"/>
      <c r="J10" s="183"/>
      <c r="K10" s="106"/>
      <c r="L10" s="65"/>
    </row>
    <row r="11" spans="1:11" ht="12.75">
      <c r="A11" s="60" t="s">
        <v>85</v>
      </c>
      <c r="B11" s="60"/>
      <c r="C11" s="218">
        <f>HLOOKUP(Consumption!$E$2,'Countries Datas'!$A:$XFD,27,FALSE)</f>
        <v>0.7199955599158343</v>
      </c>
      <c r="D11" s="32"/>
      <c r="E11" s="86">
        <f t="shared" si="0"/>
        <v>25285.524068684186</v>
      </c>
      <c r="G11" s="3">
        <f>E11*Parameters!C$20</f>
        <v>1478.1511527134078</v>
      </c>
      <c r="H11" s="3">
        <f>E11*Parameters!C$21</f>
        <v>2592.173524621169</v>
      </c>
      <c r="J11" s="182">
        <f t="shared" si="1"/>
        <v>29355.84874601876</v>
      </c>
      <c r="K11" s="105">
        <f>E11/$E$18</f>
        <v>0.7199955599158343</v>
      </c>
    </row>
    <row r="12" spans="1:12" ht="5.25" customHeight="1">
      <c r="A12" s="61"/>
      <c r="B12" s="61"/>
      <c r="C12" s="65"/>
      <c r="D12" s="65"/>
      <c r="E12" s="65"/>
      <c r="F12" s="65"/>
      <c r="G12" s="65"/>
      <c r="H12" s="65"/>
      <c r="I12" s="65"/>
      <c r="J12" s="183"/>
      <c r="K12" s="106"/>
      <c r="L12" s="65"/>
    </row>
    <row r="13" spans="1:12" ht="12.75">
      <c r="A13" s="60" t="s">
        <v>101</v>
      </c>
      <c r="B13" s="108">
        <f>Parameters!C9*(1-Parameters!C20)*(1-Parameters!C21)</f>
        <v>7265.850592108661</v>
      </c>
      <c r="C13" s="218">
        <f>HLOOKUP(Consumption!$E$2,'Countries Datas'!$A:$XFD,28,FALSE)</f>
        <v>0.10590416927167928</v>
      </c>
      <c r="D13" s="32"/>
      <c r="E13" s="86">
        <f t="shared" si="0"/>
        <v>3719.2485206521046</v>
      </c>
      <c r="G13" s="3">
        <f>E13*Parameters!C$20</f>
        <v>217.4212989652158</v>
      </c>
      <c r="H13" s="3">
        <f>E13*Parameters!C$21</f>
        <v>381.2828842515872</v>
      </c>
      <c r="J13" s="182">
        <f>E13+G13+H13</f>
        <v>4317.9527038689075</v>
      </c>
      <c r="K13" s="105">
        <f>E13/$E$18</f>
        <v>0.10590416927167928</v>
      </c>
      <c r="L13" s="70" t="s">
        <v>15</v>
      </c>
    </row>
    <row r="14" spans="1:12" ht="12.75">
      <c r="A14" s="60" t="s">
        <v>67</v>
      </c>
      <c r="B14" s="60"/>
      <c r="C14" s="218">
        <f>HLOOKUP(Consumption!$E$2,'Countries Datas'!$A:$XFD,29,FALSE)</f>
        <v>0.0005566429045985886</v>
      </c>
      <c r="D14" s="32"/>
      <c r="E14" s="86">
        <f t="shared" si="0"/>
        <v>19.548742166597833</v>
      </c>
      <c r="G14" s="87" t="s">
        <v>20</v>
      </c>
      <c r="H14" s="3">
        <f>E14*Parameters!C$21</f>
        <v>2.004060969677871</v>
      </c>
      <c r="J14" s="182">
        <f>E14+H14</f>
        <v>21.552803136275703</v>
      </c>
      <c r="K14" s="105">
        <f>E14/$E$18</f>
        <v>0.0005566429045985886</v>
      </c>
      <c r="L14" s="71" t="s">
        <v>80</v>
      </c>
    </row>
    <row r="15" spans="1:12" ht="12.75">
      <c r="A15" s="60" t="s">
        <v>66</v>
      </c>
      <c r="B15" s="60"/>
      <c r="C15" s="218">
        <f>HLOOKUP(Consumption!$E$2,'Countries Datas'!$A:$XFD,30,FALSE)</f>
        <v>1.3059071075626712E-05</v>
      </c>
      <c r="D15" s="32"/>
      <c r="E15" s="86">
        <f t="shared" si="0"/>
        <v>0.4586215171049345</v>
      </c>
      <c r="G15" s="238" t="s">
        <v>20</v>
      </c>
      <c r="H15" s="5">
        <f>E15*Parameters!C$21</f>
        <v>0.04701609313027262</v>
      </c>
      <c r="J15" s="176">
        <f>E15+H15</f>
        <v>0.5056376102352071</v>
      </c>
      <c r="K15" s="105">
        <f>E15/$E$18</f>
        <v>1.3059071075626712E-05</v>
      </c>
      <c r="L15" s="72">
        <f>SUM(J13:J17)/J18</f>
        <v>0.1892875676472896</v>
      </c>
    </row>
    <row r="16" spans="1:12" ht="12.75">
      <c r="A16" s="60" t="s">
        <v>140</v>
      </c>
      <c r="B16" s="60"/>
      <c r="C16" s="218">
        <f>HLOOKUP(Consumption!$E$2,'Countries Datas'!$A:$XFD,31,FALSE)</f>
        <v>0</v>
      </c>
      <c r="D16" s="32"/>
      <c r="E16" s="86">
        <f t="shared" si="0"/>
        <v>0</v>
      </c>
      <c r="G16" s="5">
        <f>E16*Parameters!C$20</f>
        <v>0</v>
      </c>
      <c r="H16" s="5">
        <f>E16*Parameters!C$21</f>
        <v>0</v>
      </c>
      <c r="J16" s="176">
        <f t="shared" si="1"/>
        <v>0</v>
      </c>
      <c r="K16" s="105">
        <f>E16/$E$18</f>
        <v>0</v>
      </c>
      <c r="L16" s="78"/>
    </row>
    <row r="17" spans="1:12" ht="13.5" thickBot="1">
      <c r="A17" s="60" t="s">
        <v>102</v>
      </c>
      <c r="B17" s="60"/>
      <c r="C17" s="218">
        <f>HLOOKUP(Consumption!$E$2,'Countries Datas'!$A:$XFD,32,FALSE)</f>
        <v>0.08283695260046915</v>
      </c>
      <c r="D17" s="32"/>
      <c r="E17" s="239">
        <f t="shared" si="0"/>
        <v>2909.150938375876</v>
      </c>
      <c r="G17" s="4">
        <f>E17*Parameters!C$20</f>
        <v>170.0642945464316</v>
      </c>
      <c r="H17" s="4">
        <f>E17*Parameters!C$21</f>
        <v>298.2348327486019</v>
      </c>
      <c r="J17" s="184">
        <f>E17+G17+H17</f>
        <v>3377.4500656709097</v>
      </c>
      <c r="K17" s="105">
        <f>E17/$E$18</f>
        <v>0.08283695260046915</v>
      </c>
      <c r="L17" s="78"/>
    </row>
    <row r="18" spans="3:10" ht="12.75">
      <c r="C18" s="188"/>
      <c r="D18" s="189"/>
      <c r="E18" s="185">
        <f>SUM(E7:E17)</f>
        <v>35119</v>
      </c>
      <c r="G18" s="185">
        <f>SUM(G7:G17)</f>
        <v>2051.830774142629</v>
      </c>
      <c r="H18" s="185">
        <f>SUM(H7:H17)</f>
        <v>3600.2632084622687</v>
      </c>
      <c r="J18" s="185">
        <f>SUM(J7:J17)</f>
        <v>40771.0939826049</v>
      </c>
    </row>
    <row r="19" spans="3:5" ht="12.75">
      <c r="C19" s="186" t="s">
        <v>81</v>
      </c>
      <c r="D19" s="186"/>
      <c r="E19" s="187">
        <f>H4-E18</f>
        <v>0</v>
      </c>
    </row>
    <row r="21" ht="12.75">
      <c r="A21" s="81"/>
    </row>
    <row r="22" ht="12.75">
      <c r="A22" s="81" t="s">
        <v>68</v>
      </c>
    </row>
    <row r="24" spans="1:11" ht="12.75">
      <c r="A24" s="208" t="str">
        <f>Consumption!A33</f>
        <v>Free parameters are in red. Everything else is calculated.</v>
      </c>
      <c r="K24" s="85"/>
    </row>
  </sheetData>
  <conditionalFormatting sqref="L13">
    <cfRule type="expression" priority="1" dxfId="0" stopIfTrue="1">
      <formula>$E$13&gt;#REF!</formula>
    </cfRule>
  </conditionalFormatting>
  <printOptions horizontalCentered="1"/>
  <pageMargins left="0.7874015748031497" right="0.5905511811023623" top="0.7874015748031497" bottom="0.7874015748031497" header="0" footer="0"/>
  <pageSetup fitToHeight="1"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Hoja4">
    <pageSetUpPr fitToPage="1"/>
  </sheetPr>
  <dimension ref="A1:S39"/>
  <sheetViews>
    <sheetView workbookViewId="0" topLeftCell="A1">
      <selection activeCell="A34" sqref="A34"/>
    </sheetView>
  </sheetViews>
  <sheetFormatPr defaultColWidth="11.421875" defaultRowHeight="12.75"/>
  <cols>
    <col min="1" max="1" width="4.57421875" style="0" customWidth="1"/>
    <col min="2" max="2" width="15.00390625" style="0" customWidth="1"/>
    <col min="3" max="3" width="11.7109375" style="0" customWidth="1"/>
    <col min="4" max="4" width="13.28125" style="0" customWidth="1"/>
    <col min="5" max="5" width="1.28515625" style="18" customWidth="1"/>
    <col min="6" max="6" width="8.57421875" style="0" customWidth="1"/>
    <col min="7" max="8" width="11.00390625" style="0" customWidth="1"/>
    <col min="9" max="9" width="1.28515625" style="18" customWidth="1"/>
    <col min="10" max="10" width="5.421875" style="116" customWidth="1"/>
    <col min="11" max="11" width="1.28515625" style="0" customWidth="1"/>
    <col min="12" max="12" width="12.28125" style="9" customWidth="1"/>
    <col min="13" max="13" width="16.8515625" style="0" customWidth="1"/>
    <col min="14" max="14" width="1.57421875" style="18" customWidth="1"/>
    <col min="15" max="15" width="6.28125" style="0" customWidth="1"/>
    <col min="16" max="16" width="9.7109375" style="0" customWidth="1"/>
    <col min="17" max="17" width="7.140625" style="0" customWidth="1"/>
    <col min="18" max="18" width="6.421875" style="0" customWidth="1"/>
    <col min="19" max="19" width="6.00390625" style="0" customWidth="1"/>
  </cols>
  <sheetData>
    <row r="1" spans="1:19" ht="18.75" thickBot="1">
      <c r="A1" s="221" t="s">
        <v>65</v>
      </c>
      <c r="B1" s="223"/>
      <c r="C1" s="224" t="str">
        <f>Consumption!E2</f>
        <v>France</v>
      </c>
      <c r="D1" s="223"/>
      <c r="E1" s="223"/>
      <c r="F1" s="225"/>
      <c r="S1" s="236" t="s">
        <v>134</v>
      </c>
    </row>
    <row r="2" spans="1:7" ht="18">
      <c r="A2" s="215"/>
      <c r="C2" s="215"/>
      <c r="G2" s="21"/>
    </row>
    <row r="3" spans="4:15" ht="12.75">
      <c r="D3" s="10"/>
      <c r="E3" s="20"/>
      <c r="F3" s="256"/>
      <c r="G3" s="256"/>
      <c r="H3" s="256"/>
      <c r="I3" s="100"/>
      <c r="J3" s="117"/>
      <c r="L3" s="37"/>
      <c r="M3" s="10"/>
      <c r="N3" s="20"/>
      <c r="O3" s="10"/>
    </row>
    <row r="4" spans="4:15" ht="12.75">
      <c r="D4" s="10"/>
      <c r="E4" s="20"/>
      <c r="F4" s="260" t="s">
        <v>166</v>
      </c>
      <c r="G4" s="260"/>
      <c r="H4" s="260"/>
      <c r="I4" s="100"/>
      <c r="J4" s="214" t="s">
        <v>129</v>
      </c>
      <c r="L4" s="261" t="s">
        <v>107</v>
      </c>
      <c r="M4" s="261"/>
      <c r="N4" s="122"/>
      <c r="O4" s="10"/>
    </row>
    <row r="5" spans="3:15" ht="12.75">
      <c r="C5" s="1" t="s">
        <v>2</v>
      </c>
      <c r="D5" s="11" t="s">
        <v>1</v>
      </c>
      <c r="E5" s="40"/>
      <c r="F5" s="96" t="s">
        <v>25</v>
      </c>
      <c r="G5" s="37" t="s">
        <v>22</v>
      </c>
      <c r="H5" s="190" t="s">
        <v>167</v>
      </c>
      <c r="I5" s="191"/>
      <c r="J5" s="235" t="s">
        <v>24</v>
      </c>
      <c r="O5" s="10"/>
    </row>
    <row r="6" spans="1:15" ht="12.75">
      <c r="A6" s="27" t="s">
        <v>48</v>
      </c>
      <c r="B6" s="27"/>
      <c r="C6" s="33">
        <f>Consumption!L6+Consumption!L23</f>
        <v>4861</v>
      </c>
      <c r="D6" s="43">
        <f>C6*Parameters!$C$16</f>
        <v>56533.43</v>
      </c>
      <c r="E6" s="41"/>
      <c r="F6" s="97">
        <v>899</v>
      </c>
      <c r="G6" s="95">
        <f>F6*Parameters!C$25</f>
        <v>629.3</v>
      </c>
      <c r="H6" s="192">
        <f aca="true" t="shared" si="0" ref="H6:H11">G6*D6/10^6</f>
        <v>35.576487498999995</v>
      </c>
      <c r="I6" s="193"/>
      <c r="J6" s="118"/>
      <c r="L6" s="257" t="s">
        <v>89</v>
      </c>
      <c r="M6" s="257"/>
      <c r="N6" s="20"/>
      <c r="O6" s="10"/>
    </row>
    <row r="7" spans="1:15" ht="12.75">
      <c r="A7" s="28" t="s">
        <v>49</v>
      </c>
      <c r="B7" s="28"/>
      <c r="C7" s="34">
        <f>Consumption!L7+Consumption!L14+Consumption!L15+Consumption!L16+Consumption!L24</f>
        <v>70779</v>
      </c>
      <c r="D7" s="44">
        <f>C7*Parameters!$C$16</f>
        <v>823159.77</v>
      </c>
      <c r="E7" s="41"/>
      <c r="F7" s="98">
        <v>622</v>
      </c>
      <c r="G7" s="44">
        <f>F7*Parameters!C$25</f>
        <v>435.4</v>
      </c>
      <c r="H7" s="194">
        <f t="shared" si="0"/>
        <v>358.403763858</v>
      </c>
      <c r="I7" s="193"/>
      <c r="J7" s="118"/>
      <c r="L7" s="258" t="str">
        <f>L6</f>
        <v>Extract, or buy</v>
      </c>
      <c r="M7" s="258"/>
      <c r="N7" s="20"/>
      <c r="O7" s="10"/>
    </row>
    <row r="8" spans="1:15" ht="12.75">
      <c r="A8" s="29" t="s">
        <v>50</v>
      </c>
      <c r="B8" s="29"/>
      <c r="C8" s="35">
        <f>Consumption!L8+Consumption!L25</f>
        <v>32973</v>
      </c>
      <c r="D8" s="45">
        <f>C8*Parameters!$C$16</f>
        <v>383475.99000000005</v>
      </c>
      <c r="E8" s="41"/>
      <c r="F8" s="99">
        <v>386</v>
      </c>
      <c r="G8" s="45">
        <f>F8*Parameters!C$25</f>
        <v>270.2</v>
      </c>
      <c r="H8" s="195">
        <f t="shared" si="0"/>
        <v>103.615212498</v>
      </c>
      <c r="I8" s="193"/>
      <c r="J8" s="118"/>
      <c r="L8" s="259" t="str">
        <f>L6</f>
        <v>Extract, or buy</v>
      </c>
      <c r="M8" s="259"/>
      <c r="N8" s="20"/>
      <c r="O8" s="10"/>
    </row>
    <row r="9" spans="1:15" ht="12.75" customHeight="1">
      <c r="A9" s="68" t="s">
        <v>14</v>
      </c>
      <c r="B9" s="31" t="s">
        <v>48</v>
      </c>
      <c r="C9" s="62">
        <f>'Prod Elec'!J7</f>
        <v>1747.693636433461</v>
      </c>
      <c r="D9" s="240">
        <f>C9*Parameters!$C$16</f>
        <v>20325.676991721153</v>
      </c>
      <c r="E9" s="41"/>
      <c r="G9" s="93">
        <v>899</v>
      </c>
      <c r="H9" s="196">
        <f t="shared" si="0"/>
        <v>18.272783615557316</v>
      </c>
      <c r="I9" s="193"/>
      <c r="J9" s="118"/>
      <c r="L9" s="67"/>
      <c r="M9" s="17"/>
      <c r="N9" s="20"/>
      <c r="O9" s="10"/>
    </row>
    <row r="10" spans="1:15" ht="12.75" customHeight="1">
      <c r="A10" s="31"/>
      <c r="B10" s="31" t="s">
        <v>50</v>
      </c>
      <c r="C10" s="62">
        <f>'Prod Elec'!J8</f>
        <v>1372.8503232687078</v>
      </c>
      <c r="D10" s="240">
        <f>C10*Parameters!$C$16</f>
        <v>15966.249259615073</v>
      </c>
      <c r="E10" s="41"/>
      <c r="G10" s="17">
        <v>386</v>
      </c>
      <c r="H10" s="196">
        <f t="shared" si="0"/>
        <v>6.162972214211418</v>
      </c>
      <c r="I10" s="193"/>
      <c r="J10" s="118"/>
      <c r="L10" s="67">
        <f>ROUNDUP((D9+D10+D11)/1000/Parameters!C5,0)</f>
        <v>7</v>
      </c>
      <c r="M10" s="88" t="s">
        <v>91</v>
      </c>
      <c r="N10" s="123"/>
      <c r="O10" s="10"/>
    </row>
    <row r="11" spans="1:15" ht="12.75" customHeight="1">
      <c r="A11" s="31"/>
      <c r="B11" s="31" t="s">
        <v>49</v>
      </c>
      <c r="C11" s="62">
        <f>'Prod Elec'!J9</f>
        <v>577.2400665976392</v>
      </c>
      <c r="D11" s="240">
        <f>C11*Parameters!$C$16</f>
        <v>6713.301974530544</v>
      </c>
      <c r="E11" s="41"/>
      <c r="G11" s="17">
        <v>622</v>
      </c>
      <c r="H11" s="196">
        <f t="shared" si="0"/>
        <v>4.175673828157998</v>
      </c>
      <c r="I11" s="193"/>
      <c r="J11" s="118"/>
      <c r="L11" s="89"/>
      <c r="M11" s="17"/>
      <c r="N11" s="20"/>
      <c r="O11" s="10"/>
    </row>
    <row r="12" spans="1:15" ht="3.75" customHeight="1">
      <c r="A12" s="39"/>
      <c r="B12" s="39"/>
      <c r="C12" s="52">
        <f>'Prod Elec'!E10</f>
        <v>0</v>
      </c>
      <c r="D12" s="241"/>
      <c r="E12" s="41"/>
      <c r="G12" s="20"/>
      <c r="H12" s="193"/>
      <c r="I12" s="193"/>
      <c r="J12" s="118"/>
      <c r="L12" s="42"/>
      <c r="M12" s="20"/>
      <c r="N12" s="20"/>
      <c r="O12" s="10"/>
    </row>
    <row r="13" spans="1:15" ht="12.75" customHeight="1">
      <c r="A13" s="31"/>
      <c r="B13" s="31" t="s">
        <v>85</v>
      </c>
      <c r="C13" s="62">
        <f>'Prod Elec'!J11</f>
        <v>29355.84874601876</v>
      </c>
      <c r="D13" s="240">
        <f>C13*Parameters!$C$16</f>
        <v>341408.5209161982</v>
      </c>
      <c r="E13" s="41"/>
      <c r="G13" s="17">
        <v>8</v>
      </c>
      <c r="H13" s="196">
        <f>G13*D13/10^6</f>
        <v>2.7312681673295858</v>
      </c>
      <c r="I13" s="193"/>
      <c r="J13" s="118"/>
      <c r="L13" s="67">
        <f>ROUNDUP(D13/1000/Parameters!C6,0)</f>
        <v>39</v>
      </c>
      <c r="M13" s="17" t="s">
        <v>90</v>
      </c>
      <c r="N13" s="20"/>
      <c r="O13" s="10"/>
    </row>
    <row r="14" spans="1:15" ht="3.75" customHeight="1">
      <c r="A14" s="39"/>
      <c r="B14" s="39"/>
      <c r="C14" s="52"/>
      <c r="D14" s="241"/>
      <c r="E14" s="41"/>
      <c r="G14" s="20"/>
      <c r="H14" s="193"/>
      <c r="I14" s="193"/>
      <c r="J14" s="118"/>
      <c r="L14" s="42"/>
      <c r="M14" s="20"/>
      <c r="N14" s="20"/>
      <c r="O14" s="10"/>
    </row>
    <row r="15" spans="1:19" ht="12.75" customHeight="1">
      <c r="A15" s="31"/>
      <c r="B15" s="31" t="s">
        <v>11</v>
      </c>
      <c r="C15" s="62">
        <f>'Prod Elec'!J13</f>
        <v>4317.9527038689075</v>
      </c>
      <c r="D15" s="240">
        <f>C15*Parameters!$C$16</f>
        <v>50217.7899459954</v>
      </c>
      <c r="E15" s="73"/>
      <c r="G15" s="17">
        <v>10</v>
      </c>
      <c r="H15" s="196">
        <f>G15*D15/10^6</f>
        <v>0.502177899459954</v>
      </c>
      <c r="I15" s="193"/>
      <c r="L15" s="90">
        <f>D15/Parameters!C8/1000</f>
        <v>0.5021778994599541</v>
      </c>
      <c r="M15" s="17" t="s">
        <v>29</v>
      </c>
      <c r="N15" s="20"/>
      <c r="O15" s="125">
        <f>L16/Parameters!C31</f>
        <v>0.0050843373101533244</v>
      </c>
      <c r="P15" s="126" t="s">
        <v>95</v>
      </c>
      <c r="Q15" s="133"/>
      <c r="R15" s="133"/>
      <c r="S15" s="133"/>
    </row>
    <row r="16" spans="1:19" ht="12.75" customHeight="1">
      <c r="A16" s="31"/>
      <c r="B16" s="31" t="s">
        <v>67</v>
      </c>
      <c r="C16" s="62">
        <f>'Prod Elec'!J14</f>
        <v>21.552803136275703</v>
      </c>
      <c r="D16" s="240">
        <f>C16*Parameters!$C$16</f>
        <v>250.65910047488643</v>
      </c>
      <c r="E16" s="73"/>
      <c r="G16" s="17">
        <v>7</v>
      </c>
      <c r="H16" s="196">
        <f>G16*D16/10^6</f>
        <v>0.001754613703324205</v>
      </c>
      <c r="I16" s="193"/>
      <c r="J16" s="119">
        <f>IF('Prod Elec'!K14&lt;Parameters!$G$5,0,('Prod Elec'!K14-Parameters!$G$5)/(1-Parameters!$G$5))</f>
        <v>0</v>
      </c>
      <c r="K16" s="107">
        <f>1-J16*(1-Parameters!$C$23)</f>
        <v>1</v>
      </c>
      <c r="L16" s="130">
        <f>D16/Parameters!C14/K16</f>
        <v>52.77033694208135</v>
      </c>
      <c r="M16" s="124" t="s">
        <v>92</v>
      </c>
      <c r="N16" s="124"/>
      <c r="O16" s="127">
        <f>L16/Parameters!C36</f>
        <v>0.0013167565860385604</v>
      </c>
      <c r="P16" s="128" t="s">
        <v>96</v>
      </c>
      <c r="Q16" s="134"/>
      <c r="R16" s="134"/>
      <c r="S16" s="134"/>
    </row>
    <row r="17" spans="1:19" ht="12.75" customHeight="1">
      <c r="A17" s="31"/>
      <c r="B17" s="31" t="s">
        <v>66</v>
      </c>
      <c r="C17" s="62">
        <f>'Prod Elec'!J15</f>
        <v>0.5056376102352071</v>
      </c>
      <c r="D17" s="240">
        <f>C17*Parameters!$C$16</f>
        <v>5.880565407035459</v>
      </c>
      <c r="E17" s="73"/>
      <c r="G17" s="17">
        <v>5</v>
      </c>
      <c r="H17" s="196">
        <f>G17*D17/10^6</f>
        <v>2.9402827035177295E-05</v>
      </c>
      <c r="I17" s="193"/>
      <c r="J17" s="119">
        <f>IF('Prod Elec'!K15&lt;Parameters!$G$5,0,('Prod Elec'!K15-Parameters!$G$5)/(1-Parameters!$G$5))</f>
        <v>0</v>
      </c>
      <c r="K17" s="107">
        <f>1-J17*(1-Parameters!$C$23)</f>
        <v>1</v>
      </c>
      <c r="L17" s="67">
        <f>D17/Parameters!C12/K17</f>
        <v>0.0392037693802364</v>
      </c>
      <c r="M17" s="17" t="s">
        <v>93</v>
      </c>
      <c r="N17" s="17"/>
      <c r="O17" s="129">
        <f>L17/Parameters!C28</f>
        <v>7.166658022455148E-08</v>
      </c>
      <c r="P17" s="126" t="str">
        <f>CONCATENATE("of ",$C$1)</f>
        <v>of France</v>
      </c>
      <c r="Q17" s="125">
        <f>L17/Parameters!C$29</f>
        <v>1.332111308273804E-07</v>
      </c>
      <c r="R17" s="126" t="s">
        <v>131</v>
      </c>
      <c r="S17" s="133"/>
    </row>
    <row r="18" spans="1:14" ht="12.75" customHeight="1">
      <c r="A18" s="31"/>
      <c r="B18" s="31" t="s">
        <v>140</v>
      </c>
      <c r="C18" s="62">
        <f>'Prod Elec'!J16</f>
        <v>0</v>
      </c>
      <c r="D18" s="240">
        <f>C18*Parameters!$C$16</f>
        <v>0</v>
      </c>
      <c r="E18" s="73"/>
      <c r="G18" s="17">
        <v>57</v>
      </c>
      <c r="H18" s="196">
        <f>G18*D18/10^6</f>
        <v>0</v>
      </c>
      <c r="I18" s="193"/>
      <c r="J18" s="118"/>
      <c r="K18" s="107"/>
      <c r="L18"/>
      <c r="N18"/>
    </row>
    <row r="19" spans="1:15" ht="3.75" customHeight="1">
      <c r="A19" s="39"/>
      <c r="B19" s="39"/>
      <c r="C19" s="52"/>
      <c r="D19" s="241"/>
      <c r="E19" s="73"/>
      <c r="G19" s="20"/>
      <c r="H19" s="193"/>
      <c r="I19" s="193"/>
      <c r="J19" s="118"/>
      <c r="L19" s="42"/>
      <c r="M19" s="20"/>
      <c r="N19" s="20"/>
      <c r="O19" s="80"/>
    </row>
    <row r="20" spans="1:19" ht="12.75" customHeight="1">
      <c r="A20" s="31"/>
      <c r="B20" s="31" t="s">
        <v>86</v>
      </c>
      <c r="C20" s="62">
        <f>'Prod Elec'!J17</f>
        <v>3377.4500656709097</v>
      </c>
      <c r="D20" s="240">
        <f>C20*Parameters!$C$16</f>
        <v>39279.744263752684</v>
      </c>
      <c r="E20" s="73"/>
      <c r="G20" s="7">
        <v>0</v>
      </c>
      <c r="H20" s="197">
        <f>G20*D20/10^6</f>
        <v>0</v>
      </c>
      <c r="I20" s="193"/>
      <c r="J20" s="118"/>
      <c r="L20" s="91">
        <f>(D21+D20)/Parameters!C11</f>
        <v>34644.17106593817</v>
      </c>
      <c r="M20" s="7" t="s">
        <v>130</v>
      </c>
      <c r="N20" s="7"/>
      <c r="O20" s="131">
        <f>L20/Parameters!C28</f>
        <v>0.06333139145190972</v>
      </c>
      <c r="P20" s="132" t="str">
        <f>CONCATENATE("of ",$C$1)</f>
        <v>of France</v>
      </c>
      <c r="Q20" s="135"/>
      <c r="R20" s="132"/>
      <c r="S20" s="136"/>
    </row>
    <row r="21" spans="1:19" ht="12.75">
      <c r="A21" s="30" t="s">
        <v>86</v>
      </c>
      <c r="B21" s="30"/>
      <c r="C21" s="36">
        <f>Consumption!L17+Consumption!L26</f>
        <v>8538</v>
      </c>
      <c r="D21" s="46">
        <f>C21*Parameters!$C$16</f>
        <v>99296.94</v>
      </c>
      <c r="E21" s="73"/>
      <c r="G21" s="7">
        <v>0</v>
      </c>
      <c r="H21" s="197">
        <f>G21*D21/10^6</f>
        <v>0</v>
      </c>
      <c r="I21" s="193"/>
      <c r="J21" s="118"/>
      <c r="L21" s="91"/>
      <c r="M21" s="7"/>
      <c r="N21" s="20"/>
      <c r="O21" s="131">
        <f>L20/Parameters!C30</f>
        <v>3.0680279016948435</v>
      </c>
      <c r="P21" s="132" t="s">
        <v>94</v>
      </c>
      <c r="Q21" s="135"/>
      <c r="R21" s="132"/>
      <c r="S21" s="136"/>
    </row>
    <row r="22" spans="1:15" ht="3.75" customHeight="1">
      <c r="A22" s="40"/>
      <c r="B22" s="40"/>
      <c r="C22" s="52"/>
      <c r="D22" s="19"/>
      <c r="E22" s="73"/>
      <c r="G22" s="20"/>
      <c r="H22" s="193"/>
      <c r="I22" s="193"/>
      <c r="J22" s="118"/>
      <c r="L22" s="42"/>
      <c r="M22" s="20"/>
      <c r="N22" s="20"/>
      <c r="O22" s="80"/>
    </row>
    <row r="23" spans="1:19" ht="12.75">
      <c r="A23" s="30" t="s">
        <v>87</v>
      </c>
      <c r="B23" s="30"/>
      <c r="C23" s="36">
        <f>Consumption!L18</f>
        <v>0</v>
      </c>
      <c r="D23" s="46">
        <f>C23*11.62</f>
        <v>0</v>
      </c>
      <c r="E23" s="73"/>
      <c r="G23" s="7">
        <v>0</v>
      </c>
      <c r="H23" s="197">
        <f>G23*D23/10^6</f>
        <v>0</v>
      </c>
      <c r="I23" s="193"/>
      <c r="J23" s="118"/>
      <c r="L23" s="137">
        <f>D23/Parameters!C10</f>
        <v>0</v>
      </c>
      <c r="M23" s="138" t="s">
        <v>136</v>
      </c>
      <c r="N23" s="138"/>
      <c r="O23" s="139">
        <f>L23/Parameters!C28</f>
        <v>0</v>
      </c>
      <c r="P23" s="140" t="str">
        <f>CONCATENATE("of ",$C$1)</f>
        <v>of France</v>
      </c>
      <c r="Q23" s="135">
        <f>L23/Parameters!C$29</f>
        <v>0</v>
      </c>
      <c r="R23" s="132" t="s">
        <v>131</v>
      </c>
      <c r="S23" s="136"/>
    </row>
    <row r="24" spans="1:16" ht="13.5" thickBot="1">
      <c r="A24" s="30" t="s">
        <v>88</v>
      </c>
      <c r="B24" s="30"/>
      <c r="C24" s="53">
        <f>Consumption!L28</f>
        <v>0</v>
      </c>
      <c r="D24" s="54">
        <f>C24*11.62</f>
        <v>0</v>
      </c>
      <c r="E24" s="73"/>
      <c r="G24" s="7">
        <v>5</v>
      </c>
      <c r="H24" s="202">
        <f>G24*D24/10^6</f>
        <v>0</v>
      </c>
      <c r="I24" s="193"/>
      <c r="J24" s="118"/>
      <c r="L24" s="91">
        <f>D24/Parameters!C13</f>
        <v>0</v>
      </c>
      <c r="M24" s="7" t="s">
        <v>137</v>
      </c>
      <c r="N24" s="7"/>
      <c r="O24" s="131">
        <f>L24/Parameters!C28</f>
        <v>0</v>
      </c>
      <c r="P24" s="132" t="str">
        <f>CONCATENATE("of ",$C$1)</f>
        <v>of France</v>
      </c>
    </row>
    <row r="25" spans="3:14" ht="12.75">
      <c r="C25" s="198">
        <f>SUM(C6:C24)</f>
        <v>157922.09398260489</v>
      </c>
      <c r="D25" s="198">
        <f>SUM(D6:D24)</f>
        <v>1836633.9530176949</v>
      </c>
      <c r="E25" s="73"/>
      <c r="F25" s="55"/>
      <c r="G25" s="55"/>
      <c r="H25" s="198">
        <f>SUM(H6:H20)</f>
        <v>529.4421235962467</v>
      </c>
      <c r="I25" s="199"/>
      <c r="J25" s="120"/>
      <c r="L25" s="92"/>
      <c r="M25" s="10"/>
      <c r="N25" s="20"/>
    </row>
    <row r="26" spans="2:16" ht="12.75">
      <c r="B26" s="47"/>
      <c r="E26" s="73"/>
      <c r="G26" s="226" t="s">
        <v>150</v>
      </c>
      <c r="H26" s="227">
        <f>HLOOKUP(Consumption!E2,'Countries Datas'!$A:$XFD,42,FALSE)</f>
        <v>557</v>
      </c>
      <c r="I26" s="200"/>
      <c r="M26" s="143" t="s">
        <v>108</v>
      </c>
      <c r="P26" s="10"/>
    </row>
    <row r="27" spans="5:17" ht="12.75">
      <c r="E27" s="73"/>
      <c r="G27" s="226" t="s">
        <v>114</v>
      </c>
      <c r="H27" s="228">
        <f>(H25-H26)/H26</f>
        <v>-0.04947554111984437</v>
      </c>
      <c r="I27" s="201"/>
      <c r="J27" s="121"/>
      <c r="M27" s="48" t="s">
        <v>145</v>
      </c>
      <c r="P27" s="79">
        <f>Parameters!C29-Parameters!C30</f>
        <v>283006</v>
      </c>
      <c r="Q27" s="48" t="s">
        <v>17</v>
      </c>
    </row>
    <row r="28" spans="3:17" ht="12.75">
      <c r="C28" s="74" t="s">
        <v>80</v>
      </c>
      <c r="D28" s="75">
        <f>SUM(D15:D24)/D25</f>
        <v>0.102933419892956</v>
      </c>
      <c r="E28" s="73"/>
      <c r="M28" s="141" t="s">
        <v>82</v>
      </c>
      <c r="P28" s="79">
        <f>L20</f>
        <v>34644.17106593817</v>
      </c>
      <c r="Q28" s="48" t="s">
        <v>17</v>
      </c>
    </row>
    <row r="29" spans="3:17" ht="12.75">
      <c r="C29" s="76" t="s">
        <v>31</v>
      </c>
      <c r="D29" s="77">
        <v>0.12</v>
      </c>
      <c r="E29" s="20"/>
      <c r="M29" s="141" t="s">
        <v>83</v>
      </c>
      <c r="P29" s="79">
        <f>L23</f>
        <v>0</v>
      </c>
      <c r="Q29" s="48" t="s">
        <v>17</v>
      </c>
    </row>
    <row r="30" spans="5:17" ht="12.75">
      <c r="E30" s="38"/>
      <c r="M30" s="141" t="s">
        <v>84</v>
      </c>
      <c r="P30" s="142">
        <f>L17</f>
        <v>0.0392037693802364</v>
      </c>
      <c r="Q30" s="48" t="s">
        <v>17</v>
      </c>
    </row>
    <row r="31" spans="1:17" ht="12.75">
      <c r="A31" s="81" t="s">
        <v>30</v>
      </c>
      <c r="E31" s="38"/>
      <c r="N31"/>
      <c r="O31" s="18"/>
      <c r="P31" s="144">
        <f>SUM(P27:P30)</f>
        <v>317650.21026970755</v>
      </c>
      <c r="Q31" s="145" t="s">
        <v>17</v>
      </c>
    </row>
    <row r="32" spans="1:17" ht="12.75">
      <c r="A32" s="81" t="s">
        <v>152</v>
      </c>
      <c r="N32"/>
      <c r="O32" s="18"/>
      <c r="P32" s="146">
        <f>P31/Parameters!C28</f>
        <v>0.5806815170460624</v>
      </c>
      <c r="Q32" s="145" t="str">
        <f>CONCATENATE("of ",$C$1)</f>
        <v>of France</v>
      </c>
    </row>
    <row r="33" spans="1:15" ht="12.75">
      <c r="A33" s="81" t="s">
        <v>176</v>
      </c>
      <c r="B33" s="84"/>
      <c r="N33" s="147"/>
      <c r="O33" s="18"/>
    </row>
    <row r="34" spans="1:2" ht="12.75">
      <c r="A34" s="81"/>
      <c r="B34" s="84"/>
    </row>
    <row r="35" ht="12.75">
      <c r="B35" s="84"/>
    </row>
    <row r="36" spans="2:5" ht="12.75">
      <c r="B36" s="84"/>
      <c r="E36"/>
    </row>
    <row r="37" spans="2:5" ht="12.75">
      <c r="B37" s="94"/>
      <c r="E37"/>
    </row>
    <row r="38" spans="2:5" ht="12.75">
      <c r="B38" s="94"/>
      <c r="E38"/>
    </row>
    <row r="39" ht="12.75">
      <c r="E39"/>
    </row>
  </sheetData>
  <mergeCells count="6">
    <mergeCell ref="F3:H3"/>
    <mergeCell ref="L6:M6"/>
    <mergeCell ref="L7:M7"/>
    <mergeCell ref="L8:M8"/>
    <mergeCell ref="F4:H4"/>
    <mergeCell ref="L4:M4"/>
  </mergeCells>
  <printOptions horizontalCentered="1"/>
  <pageMargins left="0.7874015748031497" right="0.5905511811023623" top="0.7874015748031497" bottom="0.7874015748031497" header="0" footer="0"/>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codeName="Hoja6"/>
  <dimension ref="A1:L5"/>
  <sheetViews>
    <sheetView tabSelected="1" workbookViewId="0" topLeftCell="A1">
      <selection activeCell="E12" sqref="E12"/>
    </sheetView>
  </sheetViews>
  <sheetFormatPr defaultColWidth="11.421875" defaultRowHeight="12.75"/>
  <sheetData>
    <row r="1" spans="1:12" ht="18.75" thickBot="1">
      <c r="A1" s="221" t="s">
        <v>65</v>
      </c>
      <c r="B1" s="223"/>
      <c r="C1" s="224" t="str">
        <f>Consumption!E2</f>
        <v>France</v>
      </c>
      <c r="D1" s="225"/>
      <c r="L1" s="236" t="s">
        <v>178</v>
      </c>
    </row>
    <row r="4" spans="1:4" ht="12.75">
      <c r="A4" s="48" t="s">
        <v>142</v>
      </c>
      <c r="B4" s="48"/>
      <c r="C4" s="237">
        <f>1000*'Balance - CO2'!H25/Parameters!C32</f>
        <v>8.87804349117543</v>
      </c>
      <c r="D4" s="48" t="s">
        <v>144</v>
      </c>
    </row>
    <row r="5" spans="1:4" ht="12.75">
      <c r="A5" s="48" t="s">
        <v>135</v>
      </c>
      <c r="B5" s="48"/>
      <c r="C5" s="237">
        <f>10^6*'Balance - CO2'!H25/Parameters!C33</f>
        <v>302.69402755488346</v>
      </c>
      <c r="D5" s="48" t="s">
        <v>143</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1">
    <pageSetUpPr fitToPage="1"/>
  </sheetPr>
  <dimension ref="A1:K40"/>
  <sheetViews>
    <sheetView workbookViewId="0" topLeftCell="A2">
      <selection activeCell="I27" sqref="I27"/>
    </sheetView>
  </sheetViews>
  <sheetFormatPr defaultColWidth="11.421875" defaultRowHeight="12.75"/>
  <cols>
    <col min="2" max="2" width="20.8515625" style="0" customWidth="1"/>
    <col min="3" max="3" width="13.57421875" style="0" customWidth="1"/>
    <col min="4" max="4" width="13.421875" style="0" customWidth="1"/>
    <col min="8" max="8" width="15.57421875" style="0" customWidth="1"/>
  </cols>
  <sheetData>
    <row r="1" spans="1:4" ht="18.75" thickBot="1">
      <c r="A1" s="221" t="s">
        <v>65</v>
      </c>
      <c r="B1" s="223"/>
      <c r="C1" s="224" t="str">
        <f>Consumption!E2</f>
        <v>France</v>
      </c>
      <c r="D1" s="225"/>
    </row>
    <row r="4" spans="1:6" ht="13.5" thickBot="1">
      <c r="A4" s="49" t="s">
        <v>124</v>
      </c>
      <c r="B4" s="50"/>
      <c r="C4" s="50"/>
      <c r="D4" s="50"/>
      <c r="F4" s="49" t="s">
        <v>126</v>
      </c>
    </row>
    <row r="5" spans="1:7" ht="12.75">
      <c r="A5" s="51" t="s">
        <v>109</v>
      </c>
      <c r="B5" s="51"/>
      <c r="C5" s="204">
        <f>0.8*24*365/1000</f>
        <v>7.008000000000001</v>
      </c>
      <c r="D5" s="51" t="s">
        <v>4</v>
      </c>
      <c r="F5" s="51" t="s">
        <v>163</v>
      </c>
      <c r="G5" s="109">
        <v>0.2</v>
      </c>
    </row>
    <row r="6" spans="1:4" ht="12.75">
      <c r="A6" s="51" t="s">
        <v>110</v>
      </c>
      <c r="B6" s="51"/>
      <c r="C6" s="204">
        <f>1*24*365/1000</f>
        <v>8.76</v>
      </c>
      <c r="D6" s="51" t="s">
        <v>4</v>
      </c>
    </row>
    <row r="7" spans="1:4" ht="4.5" customHeight="1">
      <c r="A7" s="51"/>
      <c r="B7" s="51"/>
      <c r="C7" s="205"/>
      <c r="D7" s="51"/>
    </row>
    <row r="8" spans="1:8" ht="12.75">
      <c r="A8" s="51" t="s">
        <v>111</v>
      </c>
      <c r="B8" s="51"/>
      <c r="C8" s="52">
        <f>HLOOKUP(Consumption!E2,'Countries Datas'!$A:$XFD,37,FALSE)</f>
        <v>100</v>
      </c>
      <c r="D8" s="51" t="s">
        <v>4</v>
      </c>
      <c r="G8" s="102">
        <v>0</v>
      </c>
      <c r="H8" s="101">
        <v>0</v>
      </c>
    </row>
    <row r="9" spans="3:8" ht="12.75">
      <c r="C9" s="52">
        <f>C8*10^6/C16/1000</f>
        <v>8598.452278589853</v>
      </c>
      <c r="D9" s="51" t="s">
        <v>2</v>
      </c>
      <c r="G9" s="102">
        <f>G5</f>
        <v>0.2</v>
      </c>
      <c r="H9" s="101">
        <v>0</v>
      </c>
    </row>
    <row r="10" spans="1:8" ht="12.75">
      <c r="A10" s="51" t="s">
        <v>127</v>
      </c>
      <c r="B10" s="51"/>
      <c r="C10" s="205">
        <v>1</v>
      </c>
      <c r="D10" s="51" t="s">
        <v>3</v>
      </c>
      <c r="G10" s="102">
        <v>1</v>
      </c>
      <c r="H10" s="101">
        <v>1</v>
      </c>
    </row>
    <row r="11" spans="1:4" ht="12.75">
      <c r="A11" s="51" t="s">
        <v>128</v>
      </c>
      <c r="B11" s="51"/>
      <c r="C11" s="205">
        <v>4</v>
      </c>
      <c r="D11" s="51" t="s">
        <v>3</v>
      </c>
    </row>
    <row r="12" spans="1:4" ht="12.75">
      <c r="A12" s="51" t="s">
        <v>164</v>
      </c>
      <c r="B12" s="51"/>
      <c r="C12" s="205">
        <v>150</v>
      </c>
      <c r="D12" s="51" t="s">
        <v>3</v>
      </c>
    </row>
    <row r="13" spans="1:4" ht="12.75">
      <c r="A13" s="51" t="s">
        <v>98</v>
      </c>
      <c r="B13" s="51"/>
      <c r="C13" s="205">
        <v>600</v>
      </c>
      <c r="D13" s="51" t="s">
        <v>3</v>
      </c>
    </row>
    <row r="14" spans="1:4" ht="12.75">
      <c r="A14" s="51" t="s">
        <v>67</v>
      </c>
      <c r="B14" s="51"/>
      <c r="C14" s="205">
        <v>4.75</v>
      </c>
      <c r="D14" s="51" t="s">
        <v>5</v>
      </c>
    </row>
    <row r="15" spans="1:6" ht="12.75">
      <c r="A15" s="51"/>
      <c r="B15" s="51"/>
      <c r="C15" s="205"/>
      <c r="D15" s="51"/>
      <c r="F15" s="10"/>
    </row>
    <row r="16" spans="1:6" ht="12.75">
      <c r="A16" s="51" t="s">
        <v>112</v>
      </c>
      <c r="B16" s="10"/>
      <c r="C16" s="51">
        <f>41868/3600</f>
        <v>11.63</v>
      </c>
      <c r="D16" s="51" t="s">
        <v>16</v>
      </c>
      <c r="E16" s="10"/>
      <c r="F16" s="10"/>
    </row>
    <row r="17" spans="1:6" ht="12.75">
      <c r="A17" s="51"/>
      <c r="B17" s="10"/>
      <c r="C17" s="69">
        <f>1/0.260606</f>
        <v>3.837210194700045</v>
      </c>
      <c r="D17" s="51" t="s">
        <v>28</v>
      </c>
      <c r="E17" s="10"/>
      <c r="F17" s="10"/>
    </row>
    <row r="18" spans="1:6" ht="12.75">
      <c r="A18" s="51"/>
      <c r="B18" s="10"/>
      <c r="C18" s="69">
        <f>C16/10</f>
        <v>1.163</v>
      </c>
      <c r="D18" s="51" t="s">
        <v>27</v>
      </c>
      <c r="E18" s="10"/>
      <c r="F18" s="10"/>
    </row>
    <row r="19" spans="1:4" ht="12.75">
      <c r="A19" s="51"/>
      <c r="B19" s="51"/>
      <c r="C19" s="205"/>
      <c r="D19" s="51"/>
    </row>
    <row r="20" spans="1:3" ht="12.75">
      <c r="A20" s="48" t="s">
        <v>75</v>
      </c>
      <c r="B20" s="48"/>
      <c r="C20" s="219">
        <f>HLOOKUP(Consumption!E2,'Countries Datas'!$A:$XFD,33,FALSE)</f>
        <v>0.058458394957456306</v>
      </c>
    </row>
    <row r="21" spans="1:4" ht="12.75">
      <c r="A21" s="48" t="s">
        <v>154</v>
      </c>
      <c r="B21" s="48"/>
      <c r="C21" s="219">
        <f>HLOOKUP(Consumption!E2,'Countries Datas'!$A:$XFD,34,FALSE)</f>
        <v>0.1025161083305979</v>
      </c>
      <c r="D21" s="51"/>
    </row>
    <row r="22" spans="1:4" ht="12.75">
      <c r="A22" s="51"/>
      <c r="B22" s="51"/>
      <c r="C22" s="205"/>
      <c r="D22" s="51"/>
    </row>
    <row r="23" spans="1:3" ht="12.75">
      <c r="A23" s="51" t="s">
        <v>113</v>
      </c>
      <c r="B23" s="51"/>
      <c r="C23" s="206">
        <v>0.3</v>
      </c>
    </row>
    <row r="24" ht="12.75">
      <c r="H24" s="103" t="s">
        <v>162</v>
      </c>
    </row>
    <row r="25" spans="1:3" ht="12.75">
      <c r="A25" s="51" t="s">
        <v>168</v>
      </c>
      <c r="C25" s="249">
        <v>0.7</v>
      </c>
    </row>
    <row r="27" spans="1:4" ht="13.5" thickBot="1">
      <c r="A27" s="49" t="s">
        <v>64</v>
      </c>
      <c r="B27" s="50"/>
      <c r="C27" s="50"/>
      <c r="D27" s="50"/>
    </row>
    <row r="28" spans="1:5" ht="12.75">
      <c r="A28" s="48" t="s">
        <v>53</v>
      </c>
      <c r="C28" s="79">
        <f>HLOOKUP(Consumption!E2,'Countries Datas'!$A:$XFD,38,FALSE)</f>
        <v>547030</v>
      </c>
      <c r="D28" s="48" t="s">
        <v>17</v>
      </c>
      <c r="E28" s="82"/>
    </row>
    <row r="29" spans="1:11" ht="12.75">
      <c r="A29" s="232" t="s">
        <v>171</v>
      </c>
      <c r="C29" s="79">
        <f>HLOOKUP(Consumption!E2,'Countries Datas'!$A:$XFD,39,FALSE)</f>
        <v>294298</v>
      </c>
      <c r="D29" s="48" t="s">
        <v>17</v>
      </c>
      <c r="I29" s="82"/>
      <c r="J29" s="82"/>
      <c r="K29" s="82"/>
    </row>
    <row r="30" spans="1:4" ht="12.75">
      <c r="A30" s="232" t="s">
        <v>172</v>
      </c>
      <c r="C30" s="79">
        <f>HLOOKUP(Consumption!E2,'Countries Datas'!$A:$XFD,40,FALSE)</f>
        <v>11292</v>
      </c>
      <c r="D30" s="48" t="s">
        <v>17</v>
      </c>
    </row>
    <row r="31" spans="1:4" ht="12.75">
      <c r="A31" s="48" t="s">
        <v>173</v>
      </c>
      <c r="C31" s="79">
        <f>HLOOKUP(Consumption!E2,'Countries Datas'!$A:$XFD,41,FALSE)</f>
        <v>10379</v>
      </c>
      <c r="D31" s="48" t="s">
        <v>18</v>
      </c>
    </row>
    <row r="32" spans="1:3" ht="12.75">
      <c r="A32" s="48" t="s">
        <v>116</v>
      </c>
      <c r="C32" s="79">
        <f>HLOOKUP(Consumption!E2,'Countries Datas'!$A:$XFD,44,FALSE)</f>
        <v>59635</v>
      </c>
    </row>
    <row r="33" spans="1:5" ht="12.75">
      <c r="A33" s="232" t="s">
        <v>175</v>
      </c>
      <c r="C33" s="79">
        <f>HLOOKUP(Consumption!E2,'Countries Datas'!$A:$XFD,45,FALSE)</f>
        <v>1749100</v>
      </c>
      <c r="E33" s="81"/>
    </row>
    <row r="36" spans="1:4" ht="12.75">
      <c r="A36" s="48" t="s">
        <v>96</v>
      </c>
      <c r="C36" s="79">
        <v>40076</v>
      </c>
      <c r="D36" s="48" t="s">
        <v>18</v>
      </c>
    </row>
    <row r="40" ht="12.75">
      <c r="A40" s="208" t="str">
        <f>Consumption!A33</f>
        <v>Free parameters are in red. Everything else is calculated.</v>
      </c>
    </row>
  </sheetData>
  <printOptions horizontalCentered="1"/>
  <pageMargins left="0.7874015748031497" right="0.5905511811023623" top="0.7874015748031497" bottom="0.7874015748031497" header="0" footer="0"/>
  <pageSetup fitToHeight="1" fitToWidth="1" horizontalDpi="300" verticalDpi="3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codeName="Hoja5"/>
  <dimension ref="A1:Z5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1" max="1" width="27.8515625" style="79" customWidth="1"/>
    <col min="2" max="12" width="8.7109375" style="79" customWidth="1"/>
    <col min="14" max="16" width="8.7109375" style="79" customWidth="1"/>
    <col min="17" max="17" width="10.8515625" style="79" customWidth="1"/>
    <col min="18" max="16384" width="8.7109375" style="79" customWidth="1"/>
  </cols>
  <sheetData>
    <row r="1" spans="1:19" s="229" customFormat="1" ht="57" thickBot="1">
      <c r="A1" s="265" t="s">
        <v>177</v>
      </c>
      <c r="B1" s="230" t="s">
        <v>32</v>
      </c>
      <c r="C1" s="230" t="s">
        <v>34</v>
      </c>
      <c r="D1" s="230" t="s">
        <v>39</v>
      </c>
      <c r="E1" s="230" t="s">
        <v>35</v>
      </c>
      <c r="F1" s="230" t="s">
        <v>38</v>
      </c>
      <c r="G1" s="230" t="s">
        <v>42</v>
      </c>
      <c r="H1" s="230" t="s">
        <v>40</v>
      </c>
      <c r="I1" s="230" t="s">
        <v>44</v>
      </c>
      <c r="J1" s="230" t="s">
        <v>138</v>
      </c>
      <c r="K1" s="230" t="s">
        <v>45</v>
      </c>
      <c r="L1" s="230" t="s">
        <v>43</v>
      </c>
      <c r="M1" s="229" t="s">
        <v>41</v>
      </c>
      <c r="N1" s="230" t="s">
        <v>33</v>
      </c>
      <c r="O1" s="230" t="s">
        <v>37</v>
      </c>
      <c r="P1" s="230" t="s">
        <v>118</v>
      </c>
      <c r="Q1" s="230" t="s">
        <v>117</v>
      </c>
      <c r="R1" s="230" t="s">
        <v>36</v>
      </c>
      <c r="S1" s="229" t="s">
        <v>46</v>
      </c>
    </row>
    <row r="2" ht="12.75">
      <c r="A2" s="262" t="s">
        <v>47</v>
      </c>
    </row>
    <row r="3" spans="1:17" s="232" customFormat="1" ht="11.25">
      <c r="A3" s="231" t="s">
        <v>48</v>
      </c>
      <c r="B3" s="232">
        <v>4439</v>
      </c>
      <c r="C3" s="232">
        <v>1751</v>
      </c>
      <c r="D3" s="232">
        <v>8746</v>
      </c>
      <c r="E3" s="232">
        <v>174</v>
      </c>
      <c r="F3" s="232">
        <v>3236</v>
      </c>
      <c r="G3" s="232">
        <v>3816</v>
      </c>
      <c r="H3" s="232">
        <v>2210</v>
      </c>
      <c r="I3" s="232">
        <v>637</v>
      </c>
      <c r="J3" s="232">
        <v>41</v>
      </c>
      <c r="K3" s="232">
        <v>597</v>
      </c>
      <c r="L3" s="232">
        <v>1208</v>
      </c>
      <c r="N3" s="232">
        <v>59924.55386256122</v>
      </c>
      <c r="O3" s="232">
        <f>11.88*(80/323.76)*1000</f>
        <v>2935.507783543366</v>
      </c>
      <c r="Q3" s="232">
        <v>524602</v>
      </c>
    </row>
    <row r="4" spans="1:17" s="232" customFormat="1" ht="11.25">
      <c r="A4" s="231" t="s">
        <v>49</v>
      </c>
      <c r="B4" s="232">
        <v>6349</v>
      </c>
      <c r="C4" s="232">
        <v>6669</v>
      </c>
      <c r="D4" s="232">
        <v>6403</v>
      </c>
      <c r="E4" s="232">
        <v>780</v>
      </c>
      <c r="F4" s="232">
        <v>7045</v>
      </c>
      <c r="G4" s="232">
        <v>7302</v>
      </c>
      <c r="H4" s="232">
        <v>1994</v>
      </c>
      <c r="I4" s="232">
        <v>1458</v>
      </c>
      <c r="J4" s="232">
        <v>713</v>
      </c>
      <c r="K4" s="232">
        <v>1960</v>
      </c>
      <c r="L4" s="232">
        <v>1573</v>
      </c>
      <c r="N4" s="232">
        <v>100306.61252607648</v>
      </c>
      <c r="O4" s="232">
        <f>69.72*(80/323.76)*1000</f>
        <v>17227.575982209044</v>
      </c>
      <c r="Q4" s="232">
        <v>59018</v>
      </c>
    </row>
    <row r="5" spans="1:17" s="232" customFormat="1" ht="11.25">
      <c r="A5" s="231" t="s">
        <v>50</v>
      </c>
      <c r="B5" s="232">
        <v>12699</v>
      </c>
      <c r="C5" s="232">
        <v>11626</v>
      </c>
      <c r="D5" s="232">
        <v>19183</v>
      </c>
      <c r="E5" s="232">
        <v>764</v>
      </c>
      <c r="F5" s="232">
        <v>13323</v>
      </c>
      <c r="G5" s="232">
        <v>16851</v>
      </c>
      <c r="H5" s="232">
        <v>4386</v>
      </c>
      <c r="I5" s="232">
        <v>2113</v>
      </c>
      <c r="J5" s="232">
        <v>437</v>
      </c>
      <c r="K5" s="232">
        <v>328</v>
      </c>
      <c r="L5" s="232">
        <v>314</v>
      </c>
      <c r="N5" s="232">
        <v>134633.52417050686</v>
      </c>
      <c r="O5" s="232">
        <f>92.64*(80/323.76)*1000</f>
        <v>22891.03039288362</v>
      </c>
      <c r="Q5" s="232">
        <v>17904</v>
      </c>
    </row>
    <row r="6" spans="1:15" s="232" customFormat="1" ht="11.25">
      <c r="A6" s="231" t="s">
        <v>51</v>
      </c>
      <c r="B6" s="232">
        <v>1335</v>
      </c>
      <c r="C6" s="232">
        <v>1343</v>
      </c>
      <c r="E6" s="232">
        <v>161</v>
      </c>
      <c r="F6" s="232">
        <v>223</v>
      </c>
      <c r="G6" s="232">
        <v>191</v>
      </c>
      <c r="H6" s="232">
        <v>256</v>
      </c>
      <c r="I6" s="232">
        <v>618</v>
      </c>
      <c r="J6" s="232">
        <v>106</v>
      </c>
      <c r="K6" s="232">
        <v>202</v>
      </c>
      <c r="L6" s="232">
        <v>4172</v>
      </c>
      <c r="N6" s="232">
        <v>28276.088186230183</v>
      </c>
      <c r="O6" s="232">
        <f>30.36*(80/323.76)*1000</f>
        <v>7501.8532246108225</v>
      </c>
    </row>
    <row r="7" spans="1:17" s="232" customFormat="1" ht="11.25">
      <c r="A7" s="231" t="s">
        <v>52</v>
      </c>
      <c r="B7" s="232">
        <v>11429</v>
      </c>
      <c r="C7" s="232">
        <v>8456</v>
      </c>
      <c r="D7" s="232">
        <v>19930</v>
      </c>
      <c r="E7" s="232">
        <v>836</v>
      </c>
      <c r="F7" s="232">
        <v>9796</v>
      </c>
      <c r="G7" s="232">
        <v>12413</v>
      </c>
      <c r="H7" s="232">
        <v>3437</v>
      </c>
      <c r="I7" s="232">
        <v>2110</v>
      </c>
      <c r="J7" s="232">
        <v>610</v>
      </c>
      <c r="K7" s="232">
        <v>1217</v>
      </c>
      <c r="L7" s="232">
        <v>4782</v>
      </c>
      <c r="N7" s="232">
        <v>91573.01953889223</v>
      </c>
      <c r="O7" s="232">
        <f>75.36*(80/323.76)*1000</f>
        <v>18621.200889547814</v>
      </c>
      <c r="Q7" s="232">
        <v>90388</v>
      </c>
    </row>
    <row r="8" s="142" customFormat="1" ht="11.25">
      <c r="A8" s="220"/>
    </row>
    <row r="9" s="232" customFormat="1" ht="11.25">
      <c r="A9" s="263" t="s">
        <v>26</v>
      </c>
    </row>
    <row r="10" spans="1:17" s="232" customFormat="1" ht="11.25">
      <c r="A10" s="232" t="s">
        <v>77</v>
      </c>
      <c r="B10" s="232">
        <v>6490</v>
      </c>
      <c r="C10" s="232">
        <v>4506</v>
      </c>
      <c r="D10" s="232">
        <v>7148</v>
      </c>
      <c r="E10" s="232">
        <v>761</v>
      </c>
      <c r="F10" s="232">
        <v>11034</v>
      </c>
      <c r="G10" s="232">
        <v>3597</v>
      </c>
      <c r="H10" s="232">
        <v>1553</v>
      </c>
      <c r="I10" s="232">
        <v>507</v>
      </c>
      <c r="J10" s="232">
        <v>764</v>
      </c>
      <c r="K10" s="232">
        <v>1162</v>
      </c>
      <c r="L10" s="232">
        <v>700</v>
      </c>
      <c r="N10" s="232">
        <v>79037.85516325811</v>
      </c>
      <c r="O10" s="232">
        <v>5608.2796313688405</v>
      </c>
      <c r="Q10" s="232">
        <v>6089</v>
      </c>
    </row>
    <row r="11" spans="1:17" s="232" customFormat="1" ht="11.25">
      <c r="A11" s="232" t="s">
        <v>0</v>
      </c>
      <c r="B11" s="232">
        <v>30435</v>
      </c>
      <c r="C11" s="232">
        <v>22773</v>
      </c>
      <c r="D11" s="232">
        <v>26132</v>
      </c>
      <c r="E11" s="232">
        <v>2039</v>
      </c>
      <c r="F11" s="232">
        <v>19296</v>
      </c>
      <c r="G11" s="232">
        <v>20733</v>
      </c>
      <c r="H11" s="232">
        <v>6001</v>
      </c>
      <c r="I11" s="232">
        <v>4356</v>
      </c>
      <c r="J11" s="232">
        <v>1974</v>
      </c>
      <c r="K11" s="232">
        <v>2466</v>
      </c>
      <c r="L11" s="232">
        <v>2754</v>
      </c>
      <c r="N11" s="232">
        <v>138542.59210225727</v>
      </c>
      <c r="O11" s="232">
        <v>13141.266641433192</v>
      </c>
      <c r="Q11" s="232">
        <v>36521</v>
      </c>
    </row>
    <row r="12" spans="1:17" s="232" customFormat="1" ht="11.25">
      <c r="A12" s="232" t="s">
        <v>120</v>
      </c>
      <c r="B12" s="232">
        <v>12757</v>
      </c>
      <c r="C12" s="232">
        <v>8461</v>
      </c>
      <c r="D12" s="232">
        <v>26949</v>
      </c>
      <c r="E12" s="232">
        <v>2017</v>
      </c>
      <c r="F12" s="232">
        <v>20980</v>
      </c>
      <c r="G12" s="232">
        <v>16198</v>
      </c>
      <c r="H12" s="232">
        <v>2214</v>
      </c>
      <c r="I12" s="232">
        <v>2224</v>
      </c>
      <c r="J12" s="232">
        <v>1665</v>
      </c>
      <c r="K12" s="232">
        <v>3836</v>
      </c>
      <c r="L12" s="232">
        <v>4318</v>
      </c>
      <c r="N12" s="232">
        <v>398786.39246368565</v>
      </c>
      <c r="O12" s="232">
        <v>34801.23208153451</v>
      </c>
      <c r="Q12" s="232">
        <v>39011</v>
      </c>
    </row>
    <row r="13" spans="1:15" s="232" customFormat="1" ht="11.25">
      <c r="A13" s="232" t="s">
        <v>121</v>
      </c>
      <c r="B13" s="232">
        <v>325</v>
      </c>
      <c r="C13" s="232">
        <v>209</v>
      </c>
      <c r="O13" s="232">
        <f>0.36*(80/323.76)*1000</f>
        <v>88.95478131949592</v>
      </c>
    </row>
    <row r="14" spans="1:17" s="232" customFormat="1" ht="11.25">
      <c r="A14" s="231" t="s">
        <v>52</v>
      </c>
      <c r="B14" s="232">
        <v>1034</v>
      </c>
      <c r="C14" s="232">
        <v>441</v>
      </c>
      <c r="D14" s="232">
        <v>1388</v>
      </c>
      <c r="E14" s="232">
        <v>30</v>
      </c>
      <c r="F14" s="232">
        <v>733</v>
      </c>
      <c r="G14" s="232">
        <v>773</v>
      </c>
      <c r="H14" s="232">
        <v>128</v>
      </c>
      <c r="I14" s="232">
        <v>268</v>
      </c>
      <c r="J14" s="232">
        <v>2</v>
      </c>
      <c r="K14" s="232">
        <v>20</v>
      </c>
      <c r="L14" s="232">
        <v>248</v>
      </c>
      <c r="N14" s="232">
        <v>380</v>
      </c>
      <c r="O14" s="232">
        <f>1.3*(80/323.76)*1000</f>
        <v>321.22559920929086</v>
      </c>
      <c r="Q14" s="232">
        <v>1574</v>
      </c>
    </row>
    <row r="15" s="142" customFormat="1" ht="11.25">
      <c r="A15" s="220"/>
    </row>
    <row r="16" s="232" customFormat="1" ht="11.25">
      <c r="A16" s="263" t="s">
        <v>119</v>
      </c>
    </row>
    <row r="17" spans="1:17" s="232" customFormat="1" ht="11.25">
      <c r="A17" s="232" t="s">
        <v>48</v>
      </c>
      <c r="B17" s="232">
        <v>422</v>
      </c>
      <c r="C17" s="232">
        <v>82</v>
      </c>
      <c r="D17" s="232">
        <v>1047</v>
      </c>
      <c r="E17" s="232">
        <v>34</v>
      </c>
      <c r="F17" s="232">
        <v>887</v>
      </c>
      <c r="G17" s="232">
        <v>16</v>
      </c>
      <c r="H17" s="232">
        <v>171</v>
      </c>
      <c r="I17" s="232">
        <v>171</v>
      </c>
      <c r="J17" s="232">
        <v>461</v>
      </c>
      <c r="K17" s="232">
        <v>6</v>
      </c>
      <c r="N17" s="232">
        <v>2075.3092246774445</v>
      </c>
      <c r="Q17" s="232">
        <v>148000</v>
      </c>
    </row>
    <row r="18" spans="1:17" s="232" customFormat="1" ht="11.25">
      <c r="A18" s="232" t="s">
        <v>78</v>
      </c>
      <c r="B18" s="232">
        <v>14748</v>
      </c>
      <c r="C18" s="232">
        <v>5449</v>
      </c>
      <c r="D18" s="232">
        <v>26957</v>
      </c>
      <c r="E18" s="232">
        <v>1268</v>
      </c>
      <c r="F18" s="232">
        <v>957</v>
      </c>
      <c r="G18" s="232">
        <v>6857</v>
      </c>
      <c r="H18" s="232">
        <v>5047</v>
      </c>
      <c r="I18" s="232">
        <v>2441</v>
      </c>
      <c r="J18" s="232">
        <v>1069</v>
      </c>
      <c r="K18" s="232">
        <v>4355</v>
      </c>
      <c r="L18" s="232">
        <v>2014</v>
      </c>
      <c r="N18" s="232">
        <v>61219.46034754224</v>
      </c>
      <c r="O18" s="232">
        <f>54.72*(80/323.76)*1000</f>
        <v>13521.12676056338</v>
      </c>
      <c r="Q18" s="232">
        <v>31108</v>
      </c>
    </row>
    <row r="19" spans="1:17" s="232" customFormat="1" ht="11.25">
      <c r="A19" s="232" t="s">
        <v>79</v>
      </c>
      <c r="B19" s="232">
        <v>20274</v>
      </c>
      <c r="C19" s="232">
        <v>3696</v>
      </c>
      <c r="D19" s="232">
        <v>39665</v>
      </c>
      <c r="E19" s="232">
        <v>932</v>
      </c>
      <c r="F19" s="232">
        <v>37750</v>
      </c>
      <c r="G19" s="232">
        <v>23481</v>
      </c>
      <c r="H19" s="232">
        <v>5267</v>
      </c>
      <c r="I19" s="232">
        <v>2029</v>
      </c>
      <c r="J19" s="232">
        <v>841</v>
      </c>
      <c r="K19" s="232">
        <v>46</v>
      </c>
      <c r="L19" s="232">
        <v>140</v>
      </c>
      <c r="N19" s="232">
        <v>193003.75789500235</v>
      </c>
      <c r="O19" s="232">
        <f>105.72*(80/323.76)*1000</f>
        <v>26123.054114158633</v>
      </c>
      <c r="Q19" s="232">
        <v>7318</v>
      </c>
    </row>
    <row r="20" spans="1:17" s="232" customFormat="1" ht="11.25">
      <c r="A20" s="232" t="s">
        <v>97</v>
      </c>
      <c r="B20" s="232">
        <v>8213</v>
      </c>
      <c r="C20" s="232">
        <v>2067</v>
      </c>
      <c r="D20" s="232">
        <v>4547</v>
      </c>
      <c r="E20" s="232">
        <v>555</v>
      </c>
      <c r="F20" s="232">
        <v>354</v>
      </c>
      <c r="G20" s="232">
        <v>1359</v>
      </c>
      <c r="H20" s="232">
        <v>193</v>
      </c>
      <c r="I20" s="232">
        <v>1861</v>
      </c>
      <c r="J20" s="232">
        <v>46</v>
      </c>
      <c r="K20" s="232">
        <v>713</v>
      </c>
      <c r="L20" s="232">
        <f>3682+973</f>
        <v>4655</v>
      </c>
      <c r="N20" s="232">
        <v>9598.305164133182</v>
      </c>
      <c r="O20" s="232">
        <f>7.2*(80/323.76)*1000</f>
        <v>1779.0956263899184</v>
      </c>
      <c r="Q20" s="232">
        <v>211295</v>
      </c>
    </row>
    <row r="21" spans="1:17" s="232" customFormat="1" ht="11.25">
      <c r="A21" s="232" t="s">
        <v>52</v>
      </c>
      <c r="B21" s="232">
        <v>22656</v>
      </c>
      <c r="C21" s="232">
        <v>10019</v>
      </c>
      <c r="D21" s="232">
        <v>22471</v>
      </c>
      <c r="E21" s="232">
        <f>1919+2297</f>
        <v>4216</v>
      </c>
      <c r="F21" s="232">
        <v>18486</v>
      </c>
      <c r="G21" s="232">
        <v>11832</v>
      </c>
      <c r="H21" s="232">
        <v>3286</v>
      </c>
      <c r="I21" s="232">
        <v>2839</v>
      </c>
      <c r="J21" s="232">
        <v>1368</v>
      </c>
      <c r="K21" s="232">
        <v>2941</v>
      </c>
      <c r="L21" s="232">
        <f>6129</f>
        <v>6129</v>
      </c>
      <c r="N21" s="232">
        <v>205715.0268961517</v>
      </c>
      <c r="O21" s="232">
        <f>101.52*(80/323.76)*1000</f>
        <v>25085.248332097846</v>
      </c>
      <c r="Q21" s="232">
        <v>27682</v>
      </c>
    </row>
    <row r="22" s="142" customFormat="1" ht="11.25">
      <c r="A22" s="220"/>
    </row>
    <row r="23" s="232" customFormat="1" ht="11.25">
      <c r="A23" s="263" t="s">
        <v>73</v>
      </c>
    </row>
    <row r="24" spans="1:17" s="232" customFormat="1" ht="11.25">
      <c r="A24" s="232" t="s">
        <v>55</v>
      </c>
      <c r="B24" s="233">
        <v>0.04286476842186023</v>
      </c>
      <c r="C24" s="233">
        <v>0.28426538841969107</v>
      </c>
      <c r="D24" s="233">
        <v>0.51101778417247</v>
      </c>
      <c r="E24" s="242">
        <v>0.5477530522123127</v>
      </c>
      <c r="F24" s="233">
        <v>0.3486117765729416</v>
      </c>
      <c r="G24" s="233">
        <v>0.13497075453982738</v>
      </c>
      <c r="H24" s="233">
        <v>0.11699725654907864</v>
      </c>
      <c r="I24" s="233">
        <v>0.1334557310626444</v>
      </c>
      <c r="J24" s="233">
        <v>0.32617396473152366</v>
      </c>
      <c r="K24" s="233">
        <v>0.6014056568282089</v>
      </c>
      <c r="L24" s="233">
        <v>0.020203887011998135</v>
      </c>
      <c r="M24" s="233"/>
      <c r="N24" s="233">
        <v>0.5103707007243464</v>
      </c>
      <c r="O24" s="233">
        <v>0.19265531429155558</v>
      </c>
      <c r="Q24" s="233">
        <v>0.7942275912978194</v>
      </c>
    </row>
    <row r="25" spans="1:17" s="232" customFormat="1" ht="11.25">
      <c r="A25" s="232" t="s">
        <v>56</v>
      </c>
      <c r="B25" s="233">
        <v>0.033671182384619025</v>
      </c>
      <c r="C25" s="233">
        <v>0.15445864718861751</v>
      </c>
      <c r="D25" s="233">
        <v>0.10965767093529043</v>
      </c>
      <c r="E25" s="242">
        <v>0.21218287297601524</v>
      </c>
      <c r="F25" s="233">
        <v>0.37482536880595135</v>
      </c>
      <c r="G25" s="233">
        <v>0.40790635888804655</v>
      </c>
      <c r="H25" s="233">
        <v>0.2623151812377091</v>
      </c>
      <c r="I25" s="233">
        <v>0.1934095153683011</v>
      </c>
      <c r="J25" s="233">
        <v>0.5173370319001387</v>
      </c>
      <c r="K25" s="233">
        <v>0.1365983788775266</v>
      </c>
      <c r="L25" s="233">
        <v>0.013195733010031714</v>
      </c>
      <c r="M25" s="233"/>
      <c r="N25" s="233">
        <v>0.16422546876684668</v>
      </c>
      <c r="O25" s="233">
        <v>0.057798297995587396</v>
      </c>
      <c r="Q25" s="233">
        <v>0.002922851402758962</v>
      </c>
    </row>
    <row r="26" spans="1:17" s="232" customFormat="1" ht="11.25">
      <c r="A26" s="232" t="s">
        <v>57</v>
      </c>
      <c r="B26" s="233">
        <v>0.014157665429863811</v>
      </c>
      <c r="C26" s="233">
        <v>0.09131096401126075</v>
      </c>
      <c r="D26" s="233">
        <v>0.007797560198931982</v>
      </c>
      <c r="E26" s="242">
        <v>0.05076197073339683</v>
      </c>
      <c r="F26" s="233">
        <v>0.017695120413567016</v>
      </c>
      <c r="G26" s="233">
        <v>0.26423847047286536</v>
      </c>
      <c r="H26" s="233">
        <v>0.012224137512442642</v>
      </c>
      <c r="I26" s="233">
        <v>0.02772941660599538</v>
      </c>
      <c r="J26" s="233">
        <v>0.0972062611452348</v>
      </c>
      <c r="K26" s="233">
        <v>0.1491501077328226</v>
      </c>
      <c r="L26" s="233">
        <v>0.02855748830126191</v>
      </c>
      <c r="M26" s="233"/>
      <c r="N26" s="233">
        <v>0.03370808543171638</v>
      </c>
      <c r="O26" s="233">
        <v>0.029664965798059478</v>
      </c>
      <c r="Q26" s="233">
        <v>0.03010248591788544</v>
      </c>
    </row>
    <row r="27" spans="1:17" s="232" customFormat="1" ht="11.25">
      <c r="A27" s="232" t="s">
        <v>58</v>
      </c>
      <c r="B27" s="233">
        <v>0.7199955599158343</v>
      </c>
      <c r="C27" s="233">
        <v>0.23539146313627027</v>
      </c>
      <c r="D27" s="233">
        <v>0.2751903541662846</v>
      </c>
      <c r="E27" s="242"/>
      <c r="F27" s="233">
        <v>0.22364392888664733</v>
      </c>
      <c r="G27" s="233"/>
      <c r="H27" s="233">
        <v>0.5751414212532472</v>
      </c>
      <c r="I27" s="233"/>
      <c r="J27" s="233"/>
      <c r="K27" s="233"/>
      <c r="L27" s="233">
        <v>0.49836993886346664</v>
      </c>
      <c r="M27" s="233"/>
      <c r="N27" s="233">
        <v>0.1930491163757192</v>
      </c>
      <c r="O27" s="233">
        <v>0.12759410857731854</v>
      </c>
      <c r="Q27" s="233">
        <v>0.022723269147691287</v>
      </c>
    </row>
    <row r="28" spans="1:17" s="232" customFormat="1" ht="11.25">
      <c r="A28" s="232" t="s">
        <v>59</v>
      </c>
      <c r="B28" s="233">
        <v>0.10590416927167928</v>
      </c>
      <c r="C28" s="233">
        <v>0.16699764132998554</v>
      </c>
      <c r="D28" s="233">
        <v>0.04074671183705317</v>
      </c>
      <c r="E28" s="242">
        <v>0.0004545848125378821</v>
      </c>
      <c r="F28" s="233">
        <v>0.015034674063800277</v>
      </c>
      <c r="G28" s="233">
        <v>0.1539716099956184</v>
      </c>
      <c r="H28" s="233">
        <v>0.015975138993420575</v>
      </c>
      <c r="I28" s="233">
        <v>0.6072299072520655</v>
      </c>
      <c r="J28" s="233">
        <v>0.03788389142064593</v>
      </c>
      <c r="K28" s="233">
        <v>0.09117958890522931</v>
      </c>
      <c r="L28" s="233">
        <v>0.3938242490999549</v>
      </c>
      <c r="M28" s="233"/>
      <c r="N28" s="233">
        <v>0.07491546023935779</v>
      </c>
      <c r="O28" s="233">
        <v>0.5752911211251288</v>
      </c>
      <c r="Q28" s="233">
        <v>0.14872778632933903</v>
      </c>
    </row>
    <row r="29" spans="1:17" s="232" customFormat="1" ht="11.25">
      <c r="A29" s="232" t="s">
        <v>60</v>
      </c>
      <c r="B29" s="233">
        <v>0.0005566429045985886</v>
      </c>
      <c r="C29" s="233">
        <v>0.045937000684775166</v>
      </c>
      <c r="D29" s="233">
        <v>0.03144199012008943</v>
      </c>
      <c r="E29" s="242">
        <v>0.12037838773919819</v>
      </c>
      <c r="F29" s="233">
        <v>0.0032404488715168326</v>
      </c>
      <c r="G29" s="233">
        <v>0.005070140419938379</v>
      </c>
      <c r="H29" s="233">
        <v>0.0010925247031974557</v>
      </c>
      <c r="I29" s="233">
        <v>0.0057927890854990345</v>
      </c>
      <c r="J29" s="233">
        <v>0.017990885674658213</v>
      </c>
      <c r="K29" s="233">
        <v>0.01745955744040494</v>
      </c>
      <c r="L29" s="233">
        <v>0.004664710100464992</v>
      </c>
      <c r="M29" s="233"/>
      <c r="N29" s="233">
        <v>0.002768983464512904</v>
      </c>
      <c r="O29" s="233">
        <v>0.0013936332427528515</v>
      </c>
      <c r="Q29" s="233"/>
    </row>
    <row r="30" spans="1:17" s="232" customFormat="1" ht="11.25">
      <c r="A30" s="232" t="s">
        <v>61</v>
      </c>
      <c r="B30" s="233">
        <v>1.3059071075626712E-05</v>
      </c>
      <c r="C30" s="233">
        <v>0.00015217225899718482</v>
      </c>
      <c r="D30" s="233">
        <v>0.0005551822848501925</v>
      </c>
      <c r="E30" s="242"/>
      <c r="F30" s="233">
        <v>7.565250283696886E-06</v>
      </c>
      <c r="G30" s="233">
        <v>1.738731282557743E-05</v>
      </c>
      <c r="H30" s="233"/>
      <c r="I30" s="233"/>
      <c r="J30" s="233"/>
      <c r="K30" s="233"/>
      <c r="L30" s="233">
        <v>2.2177702537868427E-05</v>
      </c>
      <c r="M30" s="233"/>
      <c r="N30" s="233">
        <v>4.900855689403369E-07</v>
      </c>
      <c r="O30" s="233">
        <v>3.918528677666942E-05</v>
      </c>
      <c r="Q30" s="233"/>
    </row>
    <row r="31" spans="1:17" s="232" customFormat="1" ht="11.25">
      <c r="A31" s="232" t="s">
        <v>139</v>
      </c>
      <c r="D31" s="233"/>
      <c r="E31" s="242"/>
      <c r="F31" s="233"/>
      <c r="G31" s="233">
        <v>0.018573127560281812</v>
      </c>
      <c r="H31" s="233"/>
      <c r="I31" s="233"/>
      <c r="J31" s="233"/>
      <c r="K31" s="233"/>
      <c r="L31" s="233">
        <v>0</v>
      </c>
      <c r="M31" s="233"/>
      <c r="N31" s="233">
        <v>0.0036437862050714056</v>
      </c>
      <c r="O31" s="233">
        <v>0</v>
      </c>
      <c r="Q31" s="233"/>
    </row>
    <row r="32" spans="1:17" s="142" customFormat="1" ht="11.25">
      <c r="A32" s="142" t="s">
        <v>62</v>
      </c>
      <c r="B32" s="243">
        <v>0.08283695260046915</v>
      </c>
      <c r="C32" s="243">
        <v>0.021486722970402494</v>
      </c>
      <c r="D32" s="243">
        <v>0.02359274628503025</v>
      </c>
      <c r="E32" s="244">
        <v>0.06846913152653909</v>
      </c>
      <c r="F32" s="243">
        <v>0.01694111713529189</v>
      </c>
      <c r="G32" s="243">
        <v>0.015252150810596525</v>
      </c>
      <c r="H32" s="243">
        <v>0.016254339750904366</v>
      </c>
      <c r="I32" s="243">
        <v>0.032192713114494634</v>
      </c>
      <c r="J32" s="243">
        <v>0.0034079651277986924</v>
      </c>
      <c r="K32" s="243">
        <v>0.0042067102158076545</v>
      </c>
      <c r="L32" s="243">
        <v>0.041161815910283804</v>
      </c>
      <c r="M32" s="243"/>
      <c r="N32" s="243">
        <v>0.017317908706860216</v>
      </c>
      <c r="O32" s="243">
        <v>0.01556337368282066</v>
      </c>
      <c r="Q32" s="243">
        <v>0.0012960159045058573</v>
      </c>
    </row>
    <row r="33" spans="1:26" s="232" customFormat="1" ht="11.25">
      <c r="A33" s="232" t="s">
        <v>75</v>
      </c>
      <c r="B33" s="233">
        <v>0.058458394957456306</v>
      </c>
      <c r="C33" s="233">
        <f>22527/252299</f>
        <v>0.08928691750660922</v>
      </c>
      <c r="D33" s="233">
        <f>26968/564671</f>
        <v>0.04775878343318499</v>
      </c>
      <c r="E33" s="233">
        <f>2151/43817</f>
        <v>0.049090535636853276</v>
      </c>
      <c r="F33" s="233">
        <f>30822/380381</f>
        <v>0.08102928379703508</v>
      </c>
      <c r="G33" s="233">
        <f>20870/280783</f>
        <v>0.07432786172952066</v>
      </c>
      <c r="H33" s="233">
        <f>3757/80807</f>
        <v>0.04649349685052038</v>
      </c>
      <c r="I33" s="233">
        <f>2970/61674</f>
        <v>0.04815643545091935</v>
      </c>
      <c r="J33" s="233">
        <f>2022/24085</f>
        <v>0.08395266763545775</v>
      </c>
      <c r="K33" s="233">
        <f>4959/54344</f>
        <v>0.09125202414249964</v>
      </c>
      <c r="L33" s="233">
        <f>10458/132510</f>
        <v>0.07892234548335975</v>
      </c>
      <c r="M33" s="233"/>
      <c r="N33" s="233">
        <f>284570/4081468</f>
        <v>0.06972246260414144</v>
      </c>
      <c r="O33" s="233">
        <f>33423/587007</f>
        <v>0.056937992221557834</v>
      </c>
      <c r="P33" s="233"/>
      <c r="Q33" s="233">
        <f>123931/1907384</f>
        <v>0.06497433133548357</v>
      </c>
      <c r="R33" s="233"/>
      <c r="S33" s="233"/>
      <c r="T33" s="233"/>
      <c r="U33" s="233"/>
      <c r="V33" s="233"/>
      <c r="W33" s="233"/>
      <c r="X33" s="233"/>
      <c r="Y33" s="233"/>
      <c r="Z33" s="233"/>
    </row>
    <row r="34" spans="1:26" s="232" customFormat="1" ht="11.25">
      <c r="A34" s="48" t="s">
        <v>154</v>
      </c>
      <c r="B34" s="233">
        <v>0.1025161083305979</v>
      </c>
      <c r="C34" s="233">
        <f>18764/252299</f>
        <v>0.07437207440378281</v>
      </c>
      <c r="D34" s="233">
        <f>54792/564671</f>
        <v>0.09703349383977573</v>
      </c>
      <c r="E34" s="233">
        <f>3134/43817</f>
        <v>0.07152475066754913</v>
      </c>
      <c r="F34" s="233">
        <f>29781/380381</f>
        <v>0.07829255404449749</v>
      </c>
      <c r="G34" s="233">
        <f>22507/280783</f>
        <v>0.08015798677270347</v>
      </c>
      <c r="H34" s="233">
        <f>6525/80807</f>
        <v>0.08074795500389818</v>
      </c>
      <c r="I34" s="233">
        <f>3118/61674</f>
        <v>0.05055615007945001</v>
      </c>
      <c r="J34" s="233">
        <f>1475/24085</f>
        <v>0.061241436578783476</v>
      </c>
      <c r="K34" s="233">
        <f>6451/54344</f>
        <v>0.11870675695568968</v>
      </c>
      <c r="L34" s="233">
        <f>8112/132510</f>
        <v>0.061218021281412724</v>
      </c>
      <c r="M34" s="233"/>
      <c r="N34" s="233">
        <f>328561/4081468</f>
        <v>0.08050069239793134</v>
      </c>
      <c r="O34" s="233">
        <f>42869/587007</f>
        <v>0.07302979351183206</v>
      </c>
      <c r="P34" s="233"/>
      <c r="Q34" s="233">
        <f>293544/1907384</f>
        <v>0.1538987429903994</v>
      </c>
      <c r="R34" s="233"/>
      <c r="S34" s="233"/>
      <c r="T34" s="233"/>
      <c r="U34" s="233"/>
      <c r="V34" s="233"/>
      <c r="W34" s="233"/>
      <c r="X34" s="233"/>
      <c r="Y34" s="233"/>
      <c r="Z34" s="233"/>
    </row>
    <row r="35" s="142" customFormat="1" ht="11.25">
      <c r="A35" s="220"/>
    </row>
    <row r="36" s="232" customFormat="1" ht="11.25">
      <c r="A36" s="263" t="s">
        <v>74</v>
      </c>
    </row>
    <row r="37" spans="1:3" s="232" customFormat="1" ht="11.25">
      <c r="A37" s="232" t="s">
        <v>125</v>
      </c>
      <c r="B37" s="232">
        <v>100</v>
      </c>
      <c r="C37" s="232">
        <v>50</v>
      </c>
    </row>
    <row r="38" spans="1:19" s="232" customFormat="1" ht="11.25">
      <c r="A38" s="232" t="s">
        <v>63</v>
      </c>
      <c r="B38" s="232">
        <v>547030</v>
      </c>
      <c r="C38" s="232">
        <v>504645</v>
      </c>
      <c r="D38" s="232">
        <v>357021</v>
      </c>
      <c r="E38" s="232">
        <v>43094</v>
      </c>
      <c r="F38" s="232">
        <v>244820</v>
      </c>
      <c r="G38" s="232">
        <v>301230</v>
      </c>
      <c r="H38" s="232">
        <v>30528</v>
      </c>
      <c r="I38" s="232">
        <v>83870</v>
      </c>
      <c r="J38" s="232">
        <v>70280</v>
      </c>
      <c r="K38" s="232">
        <v>131940</v>
      </c>
      <c r="L38" s="232">
        <v>449964</v>
      </c>
      <c r="M38" s="232">
        <v>41290</v>
      </c>
      <c r="N38" s="232">
        <v>9631418</v>
      </c>
      <c r="O38" s="232">
        <v>9984670</v>
      </c>
      <c r="P38" s="232">
        <v>377835</v>
      </c>
      <c r="Q38" s="232">
        <v>9598077</v>
      </c>
      <c r="R38" s="232">
        <v>3287590</v>
      </c>
      <c r="S38" s="232">
        <v>7686850</v>
      </c>
    </row>
    <row r="39" spans="1:12" s="232" customFormat="1" ht="11.25">
      <c r="A39" s="232" t="s">
        <v>141</v>
      </c>
      <c r="B39" s="232">
        <f>29429.8*1000/100</f>
        <v>294298</v>
      </c>
      <c r="C39" s="232">
        <v>283928</v>
      </c>
      <c r="D39" s="232">
        <v>187321</v>
      </c>
      <c r="E39" s="232">
        <v>28925</v>
      </c>
      <c r="F39" s="232">
        <v>161920</v>
      </c>
      <c r="G39" s="232">
        <v>174168</v>
      </c>
      <c r="H39" s="232">
        <v>14225</v>
      </c>
      <c r="J39" s="232">
        <v>44184</v>
      </c>
      <c r="K39" s="232">
        <v>41760</v>
      </c>
      <c r="L39" s="232">
        <v>32980</v>
      </c>
    </row>
    <row r="40" spans="1:12" s="232" customFormat="1" ht="11.25">
      <c r="A40" s="232" t="s">
        <v>156</v>
      </c>
      <c r="B40" s="232">
        <v>11292</v>
      </c>
      <c r="C40" s="232">
        <v>30828</v>
      </c>
      <c r="D40" s="232">
        <v>13956</v>
      </c>
      <c r="E40" s="232">
        <v>13956</v>
      </c>
      <c r="F40" s="232">
        <v>4340</v>
      </c>
      <c r="G40" s="232">
        <v>33882</v>
      </c>
      <c r="H40" s="232">
        <v>46</v>
      </c>
      <c r="J40" s="232">
        <v>6498</v>
      </c>
      <c r="K40" s="232">
        <v>643</v>
      </c>
      <c r="L40" s="232">
        <v>63531</v>
      </c>
    </row>
    <row r="41" spans="1:16" s="232" customFormat="1" ht="11.25">
      <c r="A41" s="232" t="s">
        <v>54</v>
      </c>
      <c r="B41" s="232">
        <v>10379</v>
      </c>
      <c r="C41" s="232">
        <v>9910</v>
      </c>
      <c r="D41" s="232">
        <v>12037</v>
      </c>
      <c r="E41" s="232">
        <v>1010</v>
      </c>
      <c r="F41" s="232">
        <v>3609</v>
      </c>
      <c r="G41" s="232">
        <v>6478</v>
      </c>
      <c r="H41" s="232">
        <v>1729</v>
      </c>
      <c r="I41" s="232">
        <v>1670</v>
      </c>
      <c r="J41" s="232">
        <v>176</v>
      </c>
      <c r="K41" s="232">
        <v>880</v>
      </c>
      <c r="L41" s="232">
        <v>30878</v>
      </c>
      <c r="M41" s="232">
        <v>1351</v>
      </c>
      <c r="N41" s="232">
        <v>89848</v>
      </c>
      <c r="O41" s="232">
        <v>16900</v>
      </c>
      <c r="P41" s="232">
        <v>6915</v>
      </c>
    </row>
    <row r="42" spans="1:19" s="232" customFormat="1" ht="11.25">
      <c r="A42" s="232" t="s">
        <v>165</v>
      </c>
      <c r="B42" s="232">
        <v>557</v>
      </c>
      <c r="C42" s="232">
        <v>402</v>
      </c>
      <c r="D42" s="232">
        <v>1017</v>
      </c>
      <c r="E42" s="232">
        <v>75.48</v>
      </c>
      <c r="F42" s="232">
        <v>651</v>
      </c>
      <c r="G42" s="232">
        <v>569</v>
      </c>
      <c r="H42" s="232">
        <v>147</v>
      </c>
      <c r="I42" s="232">
        <v>91</v>
      </c>
      <c r="J42" s="232">
        <v>66.57</v>
      </c>
      <c r="K42" s="232">
        <v>137</v>
      </c>
      <c r="L42" s="232">
        <v>70</v>
      </c>
      <c r="M42" s="232">
        <v>52</v>
      </c>
      <c r="N42" s="232">
        <v>6893</v>
      </c>
      <c r="O42" s="232">
        <v>740</v>
      </c>
      <c r="P42" s="232">
        <v>1339</v>
      </c>
      <c r="Q42" s="232">
        <v>4057</v>
      </c>
      <c r="R42" s="232">
        <v>1229</v>
      </c>
      <c r="S42" s="232">
        <v>515</v>
      </c>
    </row>
    <row r="43" spans="1:19" s="232" customFormat="1" ht="11.25">
      <c r="A43" s="232" t="s">
        <v>157</v>
      </c>
      <c r="B43" s="232">
        <v>389</v>
      </c>
      <c r="C43" s="232">
        <v>313</v>
      </c>
      <c r="D43" s="232">
        <v>854</v>
      </c>
      <c r="E43" s="232">
        <v>56.21</v>
      </c>
      <c r="F43" s="232">
        <v>540</v>
      </c>
      <c r="G43" s="232">
        <v>453</v>
      </c>
      <c r="H43" s="232">
        <v>120</v>
      </c>
      <c r="I43" s="232">
        <v>74</v>
      </c>
      <c r="J43" s="232">
        <v>41</v>
      </c>
      <c r="K43" s="232">
        <v>94.1</v>
      </c>
      <c r="L43" s="232">
        <v>53.6</v>
      </c>
      <c r="M43" s="232">
        <v>44.15</v>
      </c>
      <c r="N43" s="232">
        <v>5728</v>
      </c>
      <c r="O43" s="232">
        <v>553</v>
      </c>
      <c r="P43" s="232">
        <v>1201</v>
      </c>
      <c r="Q43" s="232">
        <v>3719</v>
      </c>
      <c r="R43" s="232">
        <v>1049</v>
      </c>
      <c r="S43" s="232">
        <v>347</v>
      </c>
    </row>
    <row r="44" spans="1:19" s="232" customFormat="1" ht="11.25">
      <c r="A44" s="232" t="s">
        <v>116</v>
      </c>
      <c r="B44" s="232">
        <v>59635</v>
      </c>
      <c r="C44" s="232">
        <v>41551</v>
      </c>
      <c r="D44" s="232">
        <v>82857</v>
      </c>
      <c r="E44" s="232">
        <v>5384</v>
      </c>
      <c r="F44" s="232">
        <v>59329</v>
      </c>
      <c r="G44" s="232">
        <v>57321</v>
      </c>
      <c r="H44" s="232">
        <v>10356</v>
      </c>
      <c r="I44" s="232">
        <v>8102</v>
      </c>
      <c r="J44" s="232">
        <v>3964</v>
      </c>
      <c r="K44" s="232">
        <v>11006</v>
      </c>
      <c r="L44" s="232">
        <v>8941</v>
      </c>
      <c r="M44" s="232">
        <f>7489370/1000</f>
        <v>7489.37</v>
      </c>
      <c r="N44" s="232">
        <f>295734134/1000</f>
        <v>295734.134</v>
      </c>
      <c r="O44" s="232">
        <f>32805041/1000</f>
        <v>32805.041</v>
      </c>
      <c r="P44" s="232">
        <f>127417244/1000</f>
        <v>127417.244</v>
      </c>
      <c r="Q44" s="232">
        <f>1313661996/1000</f>
        <v>1313661.996</v>
      </c>
      <c r="R44" s="232">
        <f>1080264388/1000</f>
        <v>1080264.388</v>
      </c>
      <c r="S44" s="232">
        <f>20090437/1000</f>
        <v>20090.437</v>
      </c>
    </row>
    <row r="45" spans="1:19" s="232" customFormat="1" ht="11.25">
      <c r="A45" s="232" t="s">
        <v>158</v>
      </c>
      <c r="B45" s="79">
        <v>1749100</v>
      </c>
      <c r="C45" s="79">
        <v>1052300</v>
      </c>
      <c r="D45" s="79">
        <v>2281400</v>
      </c>
      <c r="E45" s="79">
        <v>166900</v>
      </c>
      <c r="F45" s="79">
        <v>1790300</v>
      </c>
      <c r="G45" s="79">
        <v>1549000</v>
      </c>
      <c r="H45" s="79">
        <v>307300</v>
      </c>
      <c r="I45" s="79">
        <v>249900</v>
      </c>
      <c r="J45" s="79">
        <v>133000</v>
      </c>
      <c r="K45" s="79">
        <v>225800</v>
      </c>
      <c r="L45" s="79">
        <v>259700</v>
      </c>
      <c r="M45" s="79">
        <v>242300</v>
      </c>
      <c r="N45" s="79">
        <v>10918500</v>
      </c>
      <c r="O45" s="79">
        <v>961800</v>
      </c>
      <c r="P45" s="79">
        <v>3575400</v>
      </c>
      <c r="Q45" s="232">
        <v>6089000</v>
      </c>
      <c r="R45" s="232">
        <v>2907000</v>
      </c>
      <c r="S45" s="79">
        <v>602000</v>
      </c>
    </row>
    <row r="47" spans="2:19" s="232" customFormat="1" ht="11.25">
      <c r="B47" s="250"/>
      <c r="C47" s="250"/>
      <c r="D47" s="250"/>
      <c r="E47" s="250"/>
      <c r="F47" s="250"/>
      <c r="H47" s="250"/>
      <c r="I47" s="250"/>
      <c r="J47" s="250"/>
      <c r="K47" s="250"/>
      <c r="L47" s="250"/>
      <c r="M47" s="250"/>
      <c r="N47" s="250"/>
      <c r="O47" s="250"/>
      <c r="P47" s="250"/>
      <c r="Q47" s="250"/>
      <c r="R47" s="250"/>
      <c r="S47" s="250"/>
    </row>
    <row r="48" spans="2:19" s="232" customFormat="1" ht="12.75">
      <c r="B48" s="251"/>
      <c r="C48" s="251"/>
      <c r="D48" s="251"/>
      <c r="E48" s="251"/>
      <c r="F48" s="251"/>
      <c r="G48" s="251"/>
      <c r="H48" s="251"/>
      <c r="I48" s="251"/>
      <c r="J48" s="251"/>
      <c r="K48" s="251"/>
      <c r="L48" s="251"/>
      <c r="M48" s="251"/>
      <c r="N48" s="251"/>
      <c r="O48" s="251"/>
      <c r="P48" s="251"/>
      <c r="Q48" s="251"/>
      <c r="R48" s="251"/>
      <c r="S48" s="251"/>
    </row>
    <row r="49" s="232" customFormat="1" ht="11.25"/>
    <row r="50" s="232" customFormat="1" ht="11.25">
      <c r="A50" s="264" t="s">
        <v>146</v>
      </c>
    </row>
    <row r="51" s="232" customFormat="1" ht="11.25">
      <c r="A51" s="234" t="s">
        <v>153</v>
      </c>
    </row>
    <row r="52" ht="12.75">
      <c r="A52" s="245" t="s">
        <v>155</v>
      </c>
    </row>
    <row r="53" ht="12.75">
      <c r="A53" s="245" t="s">
        <v>160</v>
      </c>
    </row>
    <row r="54" ht="12.75">
      <c r="A54" s="245" t="s">
        <v>159</v>
      </c>
    </row>
    <row r="55" ht="12.75">
      <c r="A55" s="245" t="s">
        <v>174</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L39"/>
  <sheetViews>
    <sheetView workbookViewId="0" topLeftCell="A1">
      <selection activeCell="N9" sqref="N9"/>
    </sheetView>
  </sheetViews>
  <sheetFormatPr defaultColWidth="11.421875" defaultRowHeight="12.75"/>
  <cols>
    <col min="1" max="1" width="9.28125" style="48" customWidth="1"/>
    <col min="2" max="12" width="8.57421875" style="48" customWidth="1"/>
    <col min="13" max="16384" width="11.421875" style="48" customWidth="1"/>
  </cols>
  <sheetData>
    <row r="1" ht="12.75">
      <c r="A1" s="188" t="s">
        <v>170</v>
      </c>
    </row>
    <row r="2" ht="12.75">
      <c r="A2" s="188" t="s">
        <v>149</v>
      </c>
    </row>
    <row r="3" ht="11.25"/>
    <row r="4" ht="11.25">
      <c r="A4" s="145" t="s">
        <v>148</v>
      </c>
    </row>
    <row r="5" ht="11.25"/>
    <row r="6" spans="2:12" ht="12" thickBot="1">
      <c r="B6" s="246" t="s">
        <v>32</v>
      </c>
      <c r="C6" s="246" t="s">
        <v>34</v>
      </c>
      <c r="D6" s="246" t="s">
        <v>39</v>
      </c>
      <c r="E6" s="246" t="s">
        <v>35</v>
      </c>
      <c r="F6" s="246" t="s">
        <v>38</v>
      </c>
      <c r="G6" s="246" t="s">
        <v>42</v>
      </c>
      <c r="H6" s="246" t="s">
        <v>40</v>
      </c>
      <c r="I6" s="246" t="s">
        <v>44</v>
      </c>
      <c r="J6" s="246" t="s">
        <v>138</v>
      </c>
      <c r="K6" s="246" t="s">
        <v>45</v>
      </c>
      <c r="L6" s="246" t="s">
        <v>43</v>
      </c>
    </row>
    <row r="7" spans="1:12" ht="11.25">
      <c r="A7" s="145" t="s">
        <v>147</v>
      </c>
      <c r="B7" s="79">
        <v>529</v>
      </c>
      <c r="C7" s="79">
        <v>402</v>
      </c>
      <c r="D7" s="79">
        <v>1027</v>
      </c>
      <c r="E7" s="79">
        <v>82</v>
      </c>
      <c r="F7" s="79">
        <v>675</v>
      </c>
      <c r="G7" s="79">
        <v>581</v>
      </c>
      <c r="H7" s="79">
        <v>153</v>
      </c>
      <c r="I7" s="79">
        <v>89</v>
      </c>
      <c r="J7" s="79">
        <v>54</v>
      </c>
      <c r="K7" s="79">
        <v>116</v>
      </c>
      <c r="L7" s="79">
        <v>77</v>
      </c>
    </row>
    <row r="8" spans="1:12" ht="11.25">
      <c r="A8" s="145" t="s">
        <v>151</v>
      </c>
      <c r="B8" s="232">
        <v>557</v>
      </c>
      <c r="C8" s="232">
        <v>402</v>
      </c>
      <c r="D8" s="232">
        <v>1017</v>
      </c>
      <c r="E8" s="232">
        <v>75</v>
      </c>
      <c r="F8" s="232">
        <v>651</v>
      </c>
      <c r="G8" s="232">
        <v>569</v>
      </c>
      <c r="H8" s="232">
        <v>147</v>
      </c>
      <c r="I8" s="232">
        <v>91</v>
      </c>
      <c r="J8" s="232">
        <v>66.57</v>
      </c>
      <c r="K8" s="232">
        <v>137</v>
      </c>
      <c r="L8" s="232">
        <v>70</v>
      </c>
    </row>
    <row r="9" spans="1:12" ht="11.25">
      <c r="A9" s="247" t="s">
        <v>114</v>
      </c>
      <c r="B9" s="248">
        <f>(B7-B8)/B8</f>
        <v>-0.05026929982046679</v>
      </c>
      <c r="C9" s="248">
        <f aca="true" t="shared" si="0" ref="C9:L9">(C7-C8)/C8</f>
        <v>0</v>
      </c>
      <c r="D9" s="248">
        <f t="shared" si="0"/>
        <v>0.00983284169124877</v>
      </c>
      <c r="E9" s="248">
        <f t="shared" si="0"/>
        <v>0.09333333333333334</v>
      </c>
      <c r="F9" s="248">
        <f t="shared" si="0"/>
        <v>0.03686635944700461</v>
      </c>
      <c r="G9" s="248">
        <f t="shared" si="0"/>
        <v>0.0210896309314587</v>
      </c>
      <c r="H9" s="248">
        <f t="shared" si="0"/>
        <v>0.04081632653061224</v>
      </c>
      <c r="I9" s="248">
        <f t="shared" si="0"/>
        <v>-0.02197802197802198</v>
      </c>
      <c r="J9" s="248">
        <f t="shared" si="0"/>
        <v>-0.18882379450202785</v>
      </c>
      <c r="K9" s="248">
        <f t="shared" si="0"/>
        <v>-0.15328467153284672</v>
      </c>
      <c r="L9" s="248">
        <f t="shared" si="0"/>
        <v>0.1</v>
      </c>
    </row>
    <row r="36" ht="11.25">
      <c r="A36" s="145" t="s">
        <v>161</v>
      </c>
    </row>
    <row r="37" spans="1:2" ht="11.25">
      <c r="A37" s="48" t="s">
        <v>33</v>
      </c>
      <c r="B37" s="102">
        <v>0.1</v>
      </c>
    </row>
    <row r="38" spans="1:2" ht="11.25">
      <c r="A38" s="48" t="s">
        <v>37</v>
      </c>
      <c r="B38" s="102">
        <v>-0.01</v>
      </c>
    </row>
    <row r="39" spans="1:11" ht="11.25">
      <c r="A39" s="48" t="s">
        <v>117</v>
      </c>
      <c r="B39" s="102">
        <v>0.75</v>
      </c>
      <c r="C39" s="48" t="s">
        <v>169</v>
      </c>
      <c r="K39" s="101"/>
    </row>
  </sheetData>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Castilla-La Mancha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Bret</dc:creator>
  <cp:keywords/>
  <dc:description/>
  <cp:lastModifiedBy>AntoineClaude.Bret</cp:lastModifiedBy>
  <cp:lastPrinted>2006-04-19T15:15:40Z</cp:lastPrinted>
  <dcterms:created xsi:type="dcterms:W3CDTF">2006-04-03T21:31:59Z</dcterms:created>
  <dcterms:modified xsi:type="dcterms:W3CDTF">2006-04-21T08:30:23Z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