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3"/>
  </bookViews>
  <sheets>
    <sheet name="Dépenses" sheetId="1" r:id="rId1"/>
    <sheet name="Prod Elec" sheetId="2" r:id="rId2"/>
    <sheet name="Bilan - CO2" sheetId="3" r:id="rId3"/>
    <sheet name="Parametres" sheetId="4" r:id="rId4"/>
  </sheets>
  <definedNames/>
  <calcPr fullCalcOnLoad="1"/>
</workbook>
</file>

<file path=xl/comments4.xml><?xml version="1.0" encoding="utf-8"?>
<comments xmlns="http://schemas.openxmlformats.org/spreadsheetml/2006/main">
  <authors>
    <author>AntoineClaude.Bret</author>
  </authors>
  <commentList>
    <comment ref="F2" authorId="0">
      <text>
        <r>
          <rPr>
            <sz val="8"/>
            <rFont val="Tahoma"/>
            <family val="2"/>
          </rPr>
          <t xml:space="preserve">Si le solaire ou l'éolien, ne fournit que 1% de l'électricité totale, inutile de stocker la production (cad produire de l'H2).
Mais si l'un des deux fournit 100%, il faut tout stocker si l'on veut un approvisionnement final régulier.
Le pourcentage à stocker est donc nul tant que la part dans la production est faible, inférieure au "taux critique", puis passe à 100% si la part est de 100%,
Pour faire simple, on fait varier linéairement le % de stockage nécessaire entre le taux critique, et 100%.
</t>
        </r>
      </text>
    </comment>
  </commentList>
</comments>
</file>

<file path=xl/sharedStrings.xml><?xml version="1.0" encoding="utf-8"?>
<sst xmlns="http://schemas.openxmlformats.org/spreadsheetml/2006/main" count="193" uniqueCount="134">
  <si>
    <t>Diesel</t>
  </si>
  <si>
    <t>Fuel</t>
  </si>
  <si>
    <t>GWh</t>
  </si>
  <si>
    <t>kTep</t>
  </si>
  <si>
    <t>MT</t>
  </si>
  <si>
    <t>GWh/km2/año</t>
  </si>
  <si>
    <t>TWh/año</t>
  </si>
  <si>
    <t>GWh/km/año</t>
  </si>
  <si>
    <t>Transfer -&gt; Bio</t>
  </si>
  <si>
    <t>Transfer -&gt; Bio carb.</t>
  </si>
  <si>
    <t>Transfer -&gt; Solar term</t>
  </si>
  <si>
    <t>+</t>
  </si>
  <si>
    <t>Total:</t>
  </si>
  <si>
    <t>Hidr.</t>
  </si>
  <si>
    <t>Transfer -&gt; Elec.</t>
  </si>
  <si>
    <t>Transfer -&gt; Elec. H2</t>
  </si>
  <si>
    <t>Faltan</t>
  </si>
  <si>
    <t>ELEC</t>
  </si>
  <si>
    <t>MAX:</t>
  </si>
  <si>
    <t>MWh</t>
  </si>
  <si>
    <t>Obj 2010: 24,9%</t>
  </si>
  <si>
    <t>Otros datos</t>
  </si>
  <si>
    <t>km2</t>
  </si>
  <si>
    <t>Superficie España</t>
  </si>
  <si>
    <t>km</t>
  </si>
  <si>
    <t>Total generación</t>
  </si>
  <si>
    <t>%  2003*</t>
  </si>
  <si>
    <t>-</t>
  </si>
  <si>
    <t>Prod.</t>
  </si>
  <si>
    <t>T/GWh*</t>
  </si>
  <si>
    <t>Obj. Kioto 2012</t>
  </si>
  <si>
    <t>km (2004)</t>
  </si>
  <si>
    <t>Total</t>
  </si>
  <si>
    <t>Stock</t>
  </si>
  <si>
    <t>Coef</t>
  </si>
  <si>
    <t>Pre-conv.**</t>
  </si>
  <si>
    <t>de España</t>
  </si>
  <si>
    <t>de España o</t>
  </si>
  <si>
    <t>Croiss.</t>
  </si>
  <si>
    <t>Economies</t>
  </si>
  <si>
    <t>Charbon</t>
  </si>
  <si>
    <t>Pétrole</t>
  </si>
  <si>
    <t>Pétrole &amp; Co</t>
  </si>
  <si>
    <t>Gaz naturel</t>
  </si>
  <si>
    <t>Biomasse bois</t>
  </si>
  <si>
    <t>Bio Carburant</t>
  </si>
  <si>
    <t>Electricité</t>
  </si>
  <si>
    <t>Electricité otros</t>
  </si>
  <si>
    <t>%de la produccion de Electricité</t>
  </si>
  <si>
    <t>Electricité eau chaude</t>
  </si>
  <si>
    <t>Electroménager</t>
  </si>
  <si>
    <t>Electricité chauffage</t>
  </si>
  <si>
    <t>Electricité climatisation</t>
  </si>
  <si>
    <t>Dépenses 2003 (kTep):</t>
  </si>
  <si>
    <t>Electricité lumière</t>
  </si>
  <si>
    <t>Carburant avions</t>
  </si>
  <si>
    <t>Essence</t>
  </si>
  <si>
    <t>Années</t>
  </si>
  <si>
    <t>Taux</t>
  </si>
  <si>
    <t>Solar termique</t>
  </si>
  <si>
    <t>Sources: EuroStat - EDF</t>
  </si>
  <si>
    <t>Transports (kTep)</t>
  </si>
  <si>
    <t>Industrie (kTep)</t>
  </si>
  <si>
    <t>Servicices (kTep)</t>
  </si>
  <si>
    <t>Particuliers (kTep)</t>
  </si>
  <si>
    <t>Elec. Chaleur</t>
  </si>
  <si>
    <t>Elec. Autres</t>
  </si>
  <si>
    <t>Les paramètres ajustables sont en rouges. Le reste se calcule automatiquement</t>
  </si>
  <si>
    <t>Thermique Charbon</t>
  </si>
  <si>
    <t>Thermique gas</t>
  </si>
  <si>
    <t>Thermique Pétrole</t>
  </si>
  <si>
    <t>Solar Thermique</t>
  </si>
  <si>
    <t>MWh geoThermique</t>
  </si>
  <si>
    <t>Nucléaire*</t>
  </si>
  <si>
    <t>Nucléaire</t>
  </si>
  <si>
    <t>MWh Nucléaire</t>
  </si>
  <si>
    <t>Eolien</t>
  </si>
  <si>
    <t>Solair</t>
  </si>
  <si>
    <t>Biomasse (bois)</t>
  </si>
  <si>
    <t>Hidroelectrique. Max:</t>
  </si>
  <si>
    <t>*On néglige les pertes réseaux pour le solaire et l'éolien qui sont, par nature, plus décentralisés,</t>
  </si>
  <si>
    <t>Pertes res.*</t>
  </si>
  <si>
    <t>Dépenses prod.</t>
  </si>
  <si>
    <t>Production requise par le scénario:</t>
  </si>
  <si>
    <t>Moyens de production</t>
  </si>
  <si>
    <t>% du scénario</t>
  </si>
  <si>
    <t>Renouvelables</t>
  </si>
  <si>
    <t>Renouvelables:</t>
  </si>
  <si>
    <t>Moyens nécessaires</t>
  </si>
  <si>
    <t>S'extraie, ou s'achète</t>
  </si>
  <si>
    <t>cent. Thermiques</t>
  </si>
  <si>
    <t>Nucléaires</t>
  </si>
  <si>
    <t>capa. max.</t>
  </si>
  <si>
    <t>km d'éoliennes</t>
  </si>
  <si>
    <t>km2 de panneaux</t>
  </si>
  <si>
    <t>des autoroutes</t>
  </si>
  <si>
    <t>Circonférence terrestre</t>
  </si>
  <si>
    <t>km2 de bois</t>
  </si>
  <si>
    <t>km2 de champs</t>
  </si>
  <si>
    <t>km2 de collecteurs</t>
  </si>
  <si>
    <t>Superficie cultures bois</t>
  </si>
  <si>
    <t>Terres cultivées</t>
  </si>
  <si>
    <t>Total superficies requises</t>
  </si>
  <si>
    <t>Cultures</t>
  </si>
  <si>
    <t>Bois</t>
  </si>
  <si>
    <t>BioCarburant</t>
  </si>
  <si>
    <t>Panneaux solaires</t>
  </si>
  <si>
    <t>***Source: United Nations Framework Convention on Climate Change (http://ghg.unfccc.int/)</t>
  </si>
  <si>
    <t>Source: INE</t>
  </si>
  <si>
    <t>*Source:  IEA "Integrating Energy and Environmental Goals", 2003</t>
  </si>
  <si>
    <t>Charbon: moyenne avec 50% de Cycle Combiné à 370 T CO2/GWh.</t>
  </si>
  <si>
    <t>**Coef d'émission pour usage hors prod. Electricité (voir feuille "Paramètres")</t>
  </si>
  <si>
    <t>Emissions Eq. CO2</t>
  </si>
  <si>
    <t>Emissions 2003***</t>
  </si>
  <si>
    <t xml:space="preserve">Objetif EU 2010: </t>
  </si>
  <si>
    <t>Moyens requis et émissions de CO2</t>
  </si>
  <si>
    <t>Pamramètres production électrique</t>
  </si>
  <si>
    <t>Centrale thermique typique</t>
  </si>
  <si>
    <t>Centrale nucléaire typique</t>
  </si>
  <si>
    <t>Capacité hyddo max</t>
  </si>
  <si>
    <t>Rendement biomasse carburant</t>
  </si>
  <si>
    <t>Rendement biomasse bois</t>
  </si>
  <si>
    <t>Solaire photovoltaique</t>
  </si>
  <si>
    <t>Solaire hermique</t>
  </si>
  <si>
    <t>1 tonne Eq. Petrole (Tep) =</t>
  </si>
  <si>
    <t>Pertes réseau électrique</t>
  </si>
  <si>
    <t>Dépenses liées à la prod. Électricité</t>
  </si>
  <si>
    <t>Rendement Elec - H2 - Elec.</t>
  </si>
  <si>
    <t>Coef d'émission pour usage hors prod. Electricité</t>
  </si>
  <si>
    <t>Superficie Terres cultivées</t>
  </si>
  <si>
    <t>Equateur terrestre</t>
  </si>
  <si>
    <t>Kms de voies rapides (avec ou sans péages)</t>
  </si>
  <si>
    <t>Coeficient de staockage pour le solaure ou l'éolien</t>
  </si>
  <si>
    <t>Taux critique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</si>
</sst>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E+00"/>
    <numFmt numFmtId="168" formatCode="0.0%"/>
    <numFmt numFmtId="169" formatCode="0.00000"/>
    <numFmt numFmtId="170" formatCode="0.0000000"/>
    <numFmt numFmtId="171" formatCode="0.000000"/>
    <numFmt numFmtId="172" formatCode="#,##0.0"/>
    <numFmt numFmtId="173" formatCode="[$-40A]dddd\,\ dd&quot; de &quot;mmmm&quot; de &quot;yyyy"/>
    <numFmt numFmtId="174" formatCode="0.0000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%"/>
    <numFmt numFmtId="180" formatCode="_-* #,##0.0\ _€_-;\-* #,##0.0\ _€_-;_-* &quot;-&quot;??\ _€_-;_-@_-"/>
    <numFmt numFmtId="181" formatCode="_-* #,##0\ _€_-;\-* #,##0\ _€_-;_-* &quot;-&quot;??\ _€_-;_-@_-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sz val="10"/>
      <color indexed="9"/>
      <name val="Arial"/>
      <family val="2"/>
    </font>
    <font>
      <sz val="10"/>
      <color indexed="11"/>
      <name val="Arial"/>
      <family val="0"/>
    </font>
    <font>
      <i/>
      <sz val="10"/>
      <name val="Arial"/>
      <family val="2"/>
    </font>
    <font>
      <sz val="8"/>
      <color indexed="18"/>
      <name val="Arial"/>
      <family val="0"/>
    </font>
    <font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i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i/>
      <sz val="8"/>
      <color indexed="17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b/>
      <i/>
      <sz val="10"/>
      <name val="Arial"/>
      <family val="2"/>
    </font>
    <font>
      <i/>
      <sz val="10"/>
      <color indexed="11"/>
      <name val="Arial"/>
      <family val="2"/>
    </font>
    <font>
      <i/>
      <sz val="10"/>
      <color indexed="18"/>
      <name val="Arial"/>
      <family val="2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5" borderId="0" xfId="0" applyFill="1" applyBorder="1" applyAlignment="1">
      <alignment/>
    </xf>
    <xf numFmtId="3" fontId="0" fillId="5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8" fillId="7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" fillId="5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9" fontId="11" fillId="0" borderId="0" xfId="21" applyFont="1" applyFill="1" applyAlignment="1">
      <alignment/>
    </xf>
    <xf numFmtId="3" fontId="0" fillId="5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5" borderId="0" xfId="0" applyNumberFormat="1" applyFont="1" applyFill="1" applyBorder="1" applyAlignment="1">
      <alignment/>
    </xf>
    <xf numFmtId="3" fontId="0" fillId="6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1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9" fontId="4" fillId="8" borderId="0" xfId="21" applyFont="1" applyFill="1" applyBorder="1" applyAlignment="1">
      <alignment/>
    </xf>
    <xf numFmtId="3" fontId="0" fillId="8" borderId="0" xfId="0" applyNumberFormat="1" applyFill="1" applyBorder="1" applyAlignment="1">
      <alignment/>
    </xf>
    <xf numFmtId="0" fontId="0" fillId="8" borderId="0" xfId="0" applyFill="1" applyBorder="1" applyAlignment="1">
      <alignment/>
    </xf>
    <xf numFmtId="49" fontId="16" fillId="0" borderId="0" xfId="0" applyNumberFormat="1" applyFont="1" applyAlignment="1">
      <alignment horizontal="righ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2" fillId="2" borderId="0" xfId="0" applyNumberFormat="1" applyFont="1" applyFill="1" applyBorder="1" applyAlignment="1">
      <alignment/>
    </xf>
    <xf numFmtId="3" fontId="17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49" fontId="16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/>
    </xf>
    <xf numFmtId="0" fontId="8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9" fontId="20" fillId="0" borderId="2" xfId="21" applyFont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9" fontId="19" fillId="0" borderId="0" xfId="21" applyFont="1" applyAlignment="1">
      <alignment/>
    </xf>
    <xf numFmtId="0" fontId="21" fillId="0" borderId="0" xfId="0" applyFont="1" applyAlignment="1">
      <alignment horizontal="right"/>
    </xf>
    <xf numFmtId="9" fontId="21" fillId="0" borderId="0" xfId="0" applyNumberFormat="1" applyFont="1" applyAlignment="1">
      <alignment/>
    </xf>
    <xf numFmtId="0" fontId="21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0" fontId="11" fillId="2" borderId="0" xfId="21" applyNumberFormat="1" applyFont="1" applyFill="1" applyAlignment="1">
      <alignment/>
    </xf>
    <xf numFmtId="10" fontId="11" fillId="0" borderId="0" xfId="21" applyNumberFormat="1" applyFont="1" applyFill="1" applyAlignment="1">
      <alignment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9" fontId="0" fillId="0" borderId="0" xfId="21" applyAlignment="1">
      <alignment/>
    </xf>
    <xf numFmtId="168" fontId="0" fillId="0" borderId="0" xfId="21" applyNumberFormat="1" applyAlignment="1">
      <alignment/>
    </xf>
    <xf numFmtId="3" fontId="3" fillId="2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2" borderId="1" xfId="0" applyNumberFormat="1" applyFont="1" applyFill="1" applyBorder="1" applyAlignment="1">
      <alignment/>
    </xf>
    <xf numFmtId="3" fontId="0" fillId="2" borderId="0" xfId="0" applyNumberFormat="1" applyFill="1" applyAlignment="1">
      <alignment horizontal="right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9" fontId="0" fillId="2" borderId="0" xfId="2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1" fontId="0" fillId="2" borderId="0" xfId="0" applyNumberFormat="1" applyFill="1" applyBorder="1" applyAlignment="1">
      <alignment/>
    </xf>
    <xf numFmtId="9" fontId="0" fillId="0" borderId="0" xfId="21" applyFont="1" applyAlignment="1">
      <alignment/>
    </xf>
    <xf numFmtId="1" fontId="0" fillId="5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2" fillId="0" borderId="0" xfId="21" applyFont="1" applyAlignment="1">
      <alignment/>
    </xf>
    <xf numFmtId="9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  <xf numFmtId="9" fontId="1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3" fontId="0" fillId="2" borderId="0" xfId="0" applyNumberFormat="1" applyFont="1" applyFill="1" applyAlignment="1">
      <alignment horizontal="left"/>
    </xf>
    <xf numFmtId="9" fontId="23" fillId="0" borderId="0" xfId="21" applyFont="1" applyAlignment="1">
      <alignment horizontal="left"/>
    </xf>
    <xf numFmtId="0" fontId="24" fillId="0" borderId="0" xfId="0" applyFont="1" applyBorder="1" applyAlignment="1">
      <alignment/>
    </xf>
    <xf numFmtId="9" fontId="10" fillId="4" borderId="0" xfId="2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9" fontId="2" fillId="2" borderId="0" xfId="2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8" fontId="2" fillId="2" borderId="0" xfId="21" applyNumberFormat="1" applyFont="1" applyFill="1" applyBorder="1" applyAlignment="1">
      <alignment/>
    </xf>
    <xf numFmtId="0" fontId="2" fillId="2" borderId="0" xfId="0" applyFont="1" applyFill="1" applyAlignment="1">
      <alignment/>
    </xf>
    <xf numFmtId="9" fontId="2" fillId="2" borderId="4" xfId="21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9" fontId="2" fillId="2" borderId="0" xfId="21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 horizontal="right"/>
    </xf>
    <xf numFmtId="9" fontId="2" fillId="4" borderId="0" xfId="21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168" fontId="2" fillId="4" borderId="0" xfId="21" applyNumberFormat="1" applyFont="1" applyFill="1" applyBorder="1" applyAlignment="1">
      <alignment/>
    </xf>
    <xf numFmtId="0" fontId="0" fillId="4" borderId="0" xfId="0" applyFill="1" applyAlignment="1">
      <alignment/>
    </xf>
    <xf numFmtId="3" fontId="0" fillId="4" borderId="4" xfId="0" applyNumberFormat="1" applyFont="1" applyFill="1" applyBorder="1" applyAlignment="1">
      <alignment horizontal="right"/>
    </xf>
    <xf numFmtId="0" fontId="0" fillId="4" borderId="4" xfId="0" applyFill="1" applyBorder="1" applyAlignment="1">
      <alignment/>
    </xf>
    <xf numFmtId="9" fontId="2" fillId="4" borderId="4" xfId="21" applyNumberFormat="1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0" borderId="0" xfId="0" applyFont="1" applyAlignment="1">
      <alignment horizontal="left"/>
    </xf>
    <xf numFmtId="3" fontId="2" fillId="0" borderId="4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9" fontId="15" fillId="0" borderId="0" xfId="21" applyFont="1" applyAlignment="1">
      <alignment/>
    </xf>
    <xf numFmtId="3" fontId="2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/>
    </xf>
    <xf numFmtId="0" fontId="23" fillId="0" borderId="6" xfId="0" applyFont="1" applyBorder="1" applyAlignment="1">
      <alignment horizontal="left"/>
    </xf>
    <xf numFmtId="9" fontId="23" fillId="0" borderId="6" xfId="21" applyFont="1" applyBorder="1" applyAlignment="1">
      <alignment horizontal="left"/>
    </xf>
    <xf numFmtId="0" fontId="15" fillId="0" borderId="7" xfId="0" applyFont="1" applyBorder="1" applyAlignment="1">
      <alignment/>
    </xf>
    <xf numFmtId="9" fontId="15" fillId="0" borderId="8" xfId="0" applyNumberFormat="1" applyFont="1" applyBorder="1" applyAlignment="1">
      <alignment horizontal="left"/>
    </xf>
    <xf numFmtId="9" fontId="4" fillId="2" borderId="0" xfId="2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3" fontId="0" fillId="6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8" borderId="0" xfId="0" applyNumberFormat="1" applyFont="1" applyFill="1" applyBorder="1" applyAlignment="1">
      <alignment/>
    </xf>
    <xf numFmtId="9" fontId="1" fillId="0" borderId="0" xfId="21" applyFont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0" fontId="27" fillId="7" borderId="9" xfId="0" applyFont="1" applyFill="1" applyBorder="1" applyAlignment="1">
      <alignment horizontal="center"/>
    </xf>
    <xf numFmtId="3" fontId="27" fillId="7" borderId="10" xfId="0" applyNumberFormat="1" applyFont="1" applyFill="1" applyBorder="1" applyAlignment="1">
      <alignment horizontal="center"/>
    </xf>
    <xf numFmtId="3" fontId="27" fillId="7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8" borderId="0" xfId="0" applyFont="1" applyFill="1" applyBorder="1" applyAlignment="1">
      <alignment/>
    </xf>
    <xf numFmtId="1" fontId="1" fillId="4" borderId="0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3" fontId="1" fillId="7" borderId="1" xfId="0" applyNumberFormat="1" applyFont="1" applyFill="1" applyBorder="1" applyAlignment="1">
      <alignment horizontal="right"/>
    </xf>
    <xf numFmtId="9" fontId="17" fillId="5" borderId="0" xfId="21" applyFont="1" applyFill="1" applyBorder="1" applyAlignment="1">
      <alignment/>
    </xf>
    <xf numFmtId="9" fontId="17" fillId="6" borderId="0" xfId="21" applyFont="1" applyFill="1" applyBorder="1" applyAlignment="1">
      <alignment/>
    </xf>
    <xf numFmtId="9" fontId="17" fillId="3" borderId="0" xfId="21" applyFont="1" applyFill="1" applyBorder="1" applyAlignment="1">
      <alignment/>
    </xf>
    <xf numFmtId="9" fontId="17" fillId="4" borderId="0" xfId="21" applyFont="1" applyFill="1" applyBorder="1" applyAlignment="1">
      <alignment/>
    </xf>
    <xf numFmtId="9" fontId="17" fillId="2" borderId="0" xfId="21" applyFont="1" applyFill="1" applyBorder="1" applyAlignment="1">
      <alignment/>
    </xf>
    <xf numFmtId="0" fontId="17" fillId="4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9" fontId="17" fillId="5" borderId="0" xfId="21" applyFont="1" applyFill="1" applyBorder="1" applyAlignment="1">
      <alignment/>
    </xf>
    <xf numFmtId="9" fontId="17" fillId="6" borderId="0" xfId="21" applyFont="1" applyFill="1" applyBorder="1" applyAlignment="1">
      <alignment/>
    </xf>
    <xf numFmtId="9" fontId="17" fillId="3" borderId="0" xfId="21" applyFont="1" applyFill="1" applyBorder="1" applyAlignment="1">
      <alignment/>
    </xf>
    <xf numFmtId="9" fontId="17" fillId="4" borderId="0" xfId="21" applyFont="1" applyFill="1" applyBorder="1" applyAlignment="1">
      <alignment/>
    </xf>
    <xf numFmtId="9" fontId="17" fillId="2" borderId="0" xfId="2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26" fillId="0" borderId="0" xfId="0" applyFont="1" applyFill="1" applyAlignment="1">
      <alignment horizontal="right"/>
    </xf>
    <xf numFmtId="3" fontId="2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7" fillId="5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6" fontId="7" fillId="6" borderId="0" xfId="0" applyNumberFormat="1" applyFont="1" applyFill="1" applyBorder="1" applyAlignment="1">
      <alignment/>
    </xf>
    <xf numFmtId="166" fontId="7" fillId="3" borderId="0" xfId="0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166" fontId="7" fillId="4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1" fontId="26" fillId="0" borderId="0" xfId="0" applyNumberFormat="1" applyFont="1" applyFill="1" applyAlignment="1">
      <alignment/>
    </xf>
    <xf numFmtId="0" fontId="26" fillId="0" borderId="0" xfId="0" applyFont="1" applyAlignment="1">
      <alignment horizontal="right"/>
    </xf>
    <xf numFmtId="166" fontId="7" fillId="4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28" fillId="0" borderId="0" xfId="0" applyNumberFormat="1" applyFont="1" applyAlignment="1">
      <alignment/>
    </xf>
    <xf numFmtId="166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68" fontId="23" fillId="0" borderId="0" xfId="21" applyNumberFormat="1" applyFont="1" applyAlignment="1">
      <alignment/>
    </xf>
    <xf numFmtId="9" fontId="23" fillId="0" borderId="0" xfId="21" applyFont="1" applyFill="1" applyBorder="1" applyAlignment="1">
      <alignment/>
    </xf>
    <xf numFmtId="165" fontId="23" fillId="0" borderId="0" xfId="0" applyNumberFormat="1" applyFont="1" applyFill="1" applyBorder="1" applyAlignment="1">
      <alignment horizontal="left"/>
    </xf>
    <xf numFmtId="3" fontId="23" fillId="0" borderId="0" xfId="0" applyNumberFormat="1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9" fontId="23" fillId="0" borderId="0" xfId="21" applyFont="1" applyBorder="1" applyAlignment="1">
      <alignment horizontal="left"/>
    </xf>
    <xf numFmtId="9" fontId="1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strike val="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stocké</a:t>
            </a:r>
          </a:p>
        </c:rich>
      </c:tx>
      <c:layout>
        <c:manualLayout>
          <c:xMode val="factor"/>
          <c:yMode val="factor"/>
          <c:x val="-0.47225"/>
          <c:y val="0.27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"/>
          <c:w val="0.90225"/>
          <c:h val="0.96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Parametres!$G$5:$G$7</c:f>
              <c:numCache/>
            </c:numRef>
          </c:xVal>
          <c:yVal>
            <c:numRef>
              <c:f>Parametres!$H$5:$H$7</c:f>
              <c:numCache/>
            </c:numRef>
          </c:yVal>
          <c:smooth val="0"/>
        </c:ser>
        <c:axId val="28009495"/>
        <c:axId val="50758864"/>
      </c:scatterChart>
      <c:valAx>
        <c:axId val="280094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0758864"/>
        <c:crosses val="autoZero"/>
        <c:crossBetween val="midCat"/>
        <c:dispUnits/>
      </c:valAx>
      <c:valAx>
        <c:axId val="5075886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9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38100</xdr:rowOff>
    </xdr:from>
    <xdr:to>
      <xdr:col>9</xdr:col>
      <xdr:colOff>552450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4714875" y="371475"/>
        <a:ext cx="38766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I36" sqref="I36"/>
    </sheetView>
  </sheetViews>
  <sheetFormatPr defaultColWidth="11.421875" defaultRowHeight="12.75"/>
  <cols>
    <col min="1" max="1" width="8.8515625" style="0" customWidth="1"/>
    <col min="2" max="2" width="4.8515625" style="0" customWidth="1"/>
    <col min="3" max="3" width="1.8515625" style="0" customWidth="1"/>
    <col min="4" max="4" width="11.421875" style="10" customWidth="1"/>
    <col min="5" max="5" width="10.7109375" style="10" customWidth="1"/>
    <col min="6" max="6" width="9.7109375" style="10" customWidth="1"/>
    <col min="7" max="7" width="9.7109375" style="125" customWidth="1"/>
    <col min="8" max="8" width="9.7109375" style="0" customWidth="1"/>
    <col min="9" max="9" width="21.00390625" style="0" customWidth="1"/>
    <col min="10" max="10" width="9.7109375" style="0" customWidth="1"/>
    <col min="11" max="11" width="18.28125" style="0" customWidth="1"/>
    <col min="12" max="12" width="9.7109375" style="0" customWidth="1"/>
    <col min="14" max="14" width="11.421875" style="90" customWidth="1"/>
  </cols>
  <sheetData>
    <row r="1" spans="4:14" ht="18.75" thickBot="1">
      <c r="D1" s="21" t="s">
        <v>62</v>
      </c>
      <c r="G1" s="120" t="s">
        <v>39</v>
      </c>
      <c r="H1" s="11"/>
      <c r="I1" s="11" t="s">
        <v>8</v>
      </c>
      <c r="J1" s="10"/>
      <c r="K1" s="11" t="s">
        <v>14</v>
      </c>
      <c r="L1" s="10"/>
      <c r="M1" s="10"/>
      <c r="N1" s="58"/>
    </row>
    <row r="2" spans="1:14" ht="12.75">
      <c r="A2" s="238" t="s">
        <v>38</v>
      </c>
      <c r="B2" s="239"/>
      <c r="C2" s="232"/>
      <c r="D2" s="12" t="s">
        <v>40</v>
      </c>
      <c r="E2" s="12"/>
      <c r="F2" s="166">
        <f>1751*(1+B5)</f>
        <v>1751</v>
      </c>
      <c r="G2" s="184">
        <v>0</v>
      </c>
      <c r="H2" s="13">
        <f>F2*(1-G2)</f>
        <v>1751</v>
      </c>
      <c r="I2" s="61">
        <v>0</v>
      </c>
      <c r="J2" s="166">
        <f>H2*(1-I2)</f>
        <v>1751</v>
      </c>
      <c r="K2" s="165">
        <v>0</v>
      </c>
      <c r="L2" s="166">
        <f>J2*(1-K2)</f>
        <v>1751</v>
      </c>
      <c r="M2" s="10"/>
      <c r="N2" s="58"/>
    </row>
    <row r="3" spans="1:14" ht="12.75">
      <c r="A3" s="160" t="s">
        <v>57</v>
      </c>
      <c r="B3" s="161">
        <v>0</v>
      </c>
      <c r="C3" s="233"/>
      <c r="D3" s="14" t="s">
        <v>41</v>
      </c>
      <c r="E3" s="14"/>
      <c r="F3" s="167">
        <f>(1+B5)*6669</f>
        <v>6669</v>
      </c>
      <c r="G3" s="185">
        <v>0</v>
      </c>
      <c r="H3" s="15">
        <f>F3*(1-G3)</f>
        <v>6669</v>
      </c>
      <c r="I3" s="61">
        <v>0</v>
      </c>
      <c r="J3" s="167">
        <f>H3*(1-I3)</f>
        <v>6669</v>
      </c>
      <c r="K3" s="165">
        <v>0</v>
      </c>
      <c r="L3" s="167">
        <f>J3*(1-K3)</f>
        <v>6669</v>
      </c>
      <c r="M3" s="10"/>
      <c r="N3" s="58"/>
    </row>
    <row r="4" spans="1:14" ht="12.75">
      <c r="A4" s="160" t="s">
        <v>58</v>
      </c>
      <c r="B4" s="162">
        <v>0.05</v>
      </c>
      <c r="C4" s="234"/>
      <c r="D4" s="8" t="s">
        <v>43</v>
      </c>
      <c r="E4" s="8"/>
      <c r="F4" s="168">
        <f>(1+B5)*11626</f>
        <v>11626</v>
      </c>
      <c r="G4" s="186">
        <v>0</v>
      </c>
      <c r="H4" s="6">
        <f>F4*(1-G4)</f>
        <v>11626</v>
      </c>
      <c r="I4" s="61">
        <v>0</v>
      </c>
      <c r="J4" s="168">
        <f>H4*(1-I4)</f>
        <v>11626</v>
      </c>
      <c r="K4" s="165">
        <v>0</v>
      </c>
      <c r="L4" s="168">
        <f>J4*(1-K4)</f>
        <v>11626</v>
      </c>
      <c r="M4" s="10"/>
      <c r="N4" s="58"/>
    </row>
    <row r="5" spans="1:14" ht="13.5" thickBot="1">
      <c r="A5" s="163" t="s">
        <v>32</v>
      </c>
      <c r="B5" s="164">
        <f>(1+B4)^B3-1</f>
        <v>0</v>
      </c>
      <c r="C5" s="235"/>
      <c r="D5" s="7" t="s">
        <v>44</v>
      </c>
      <c r="E5" s="7"/>
      <c r="F5" s="169">
        <f>(1+B5)*1343</f>
        <v>1343</v>
      </c>
      <c r="G5" s="187">
        <v>0</v>
      </c>
      <c r="H5" s="16">
        <f>F5*(1-G5)</f>
        <v>1343</v>
      </c>
      <c r="I5" s="62"/>
      <c r="J5" s="171">
        <f>H5+I2*H2+I3*H3+I4*H4</f>
        <v>1343</v>
      </c>
      <c r="K5" s="5"/>
      <c r="L5" s="169">
        <f>J5</f>
        <v>1343</v>
      </c>
      <c r="M5" s="10"/>
      <c r="N5" s="58"/>
    </row>
    <row r="6" spans="4:14" ht="12.75">
      <c r="D6" s="17" t="s">
        <v>46</v>
      </c>
      <c r="E6" s="17"/>
      <c r="F6" s="190">
        <f>(1+B5)*8456</f>
        <v>8456</v>
      </c>
      <c r="G6" s="188">
        <v>0</v>
      </c>
      <c r="H6" s="5">
        <f>F6*(1-G6)</f>
        <v>8456</v>
      </c>
      <c r="I6" s="19"/>
      <c r="J6" s="5">
        <f>H6</f>
        <v>8456</v>
      </c>
      <c r="K6" s="5"/>
      <c r="L6" s="170">
        <f>J6+K2*J2+K3*J3+K4*J4</f>
        <v>8456</v>
      </c>
      <c r="M6" s="10"/>
      <c r="N6" s="58"/>
    </row>
    <row r="7" spans="4:14" ht="13.5" thickBot="1">
      <c r="D7" s="2"/>
      <c r="E7" s="2"/>
      <c r="F7" s="23">
        <f>SUM(F2:F6)</f>
        <v>29845</v>
      </c>
      <c r="G7" s="122"/>
      <c r="H7" s="23">
        <f>SUM(H2:H6)</f>
        <v>29845</v>
      </c>
      <c r="I7" s="23"/>
      <c r="J7" s="23">
        <f>SUM(J2:J6)</f>
        <v>29845</v>
      </c>
      <c r="K7" s="23"/>
      <c r="L7" s="24">
        <f>SUM(L2:L6)</f>
        <v>29845</v>
      </c>
      <c r="M7" s="10"/>
      <c r="N7" s="58"/>
    </row>
    <row r="8" spans="4:14" ht="12.75">
      <c r="D8" s="22"/>
      <c r="E8" s="22"/>
      <c r="F8" s="22"/>
      <c r="G8" s="123"/>
      <c r="H8" s="22"/>
      <c r="I8" s="22"/>
      <c r="J8" s="22"/>
      <c r="K8" s="22"/>
      <c r="L8" s="22"/>
      <c r="M8" s="10"/>
      <c r="N8" s="58"/>
    </row>
    <row r="9" spans="4:14" ht="18.75" thickBot="1">
      <c r="D9" s="21" t="s">
        <v>61</v>
      </c>
      <c r="G9" s="120" t="s">
        <v>39</v>
      </c>
      <c r="H9" s="10"/>
      <c r="I9" s="11" t="s">
        <v>9</v>
      </c>
      <c r="J9" s="10"/>
      <c r="K9" s="11" t="s">
        <v>15</v>
      </c>
      <c r="L9" s="172">
        <f>Parametres!C20</f>
        <v>0.3</v>
      </c>
      <c r="M9" s="10"/>
      <c r="N9" s="58"/>
    </row>
    <row r="10" spans="1:14" ht="12.75">
      <c r="A10" s="238" t="s">
        <v>38</v>
      </c>
      <c r="B10" s="239"/>
      <c r="C10" s="232"/>
      <c r="D10" s="14" t="s">
        <v>55</v>
      </c>
      <c r="E10" s="14"/>
      <c r="F10" s="167">
        <f>(1+B13)*4506</f>
        <v>4506</v>
      </c>
      <c r="G10" s="185">
        <v>0</v>
      </c>
      <c r="H10" s="15">
        <f>F10*(1-G10)</f>
        <v>4506</v>
      </c>
      <c r="I10" s="61">
        <v>0</v>
      </c>
      <c r="J10" s="166">
        <f>H10*(1-I10)</f>
        <v>4506</v>
      </c>
      <c r="K10" s="19"/>
      <c r="L10" s="15">
        <f>H10</f>
        <v>4506</v>
      </c>
      <c r="M10" s="10"/>
      <c r="N10" s="58"/>
    </row>
    <row r="11" spans="1:14" ht="12.75">
      <c r="A11" s="160" t="s">
        <v>57</v>
      </c>
      <c r="B11" s="161">
        <v>0</v>
      </c>
      <c r="C11" s="233"/>
      <c r="D11" s="14" t="s">
        <v>0</v>
      </c>
      <c r="E11" s="14"/>
      <c r="F11" s="167">
        <f>(1+B13)*22773</f>
        <v>22773</v>
      </c>
      <c r="G11" s="185">
        <v>0</v>
      </c>
      <c r="H11" s="15">
        <f>F11*(1-G11)</f>
        <v>22773</v>
      </c>
      <c r="I11" s="61">
        <v>0</v>
      </c>
      <c r="J11" s="167">
        <f>H11*(1-I11)</f>
        <v>22773</v>
      </c>
      <c r="K11" s="165">
        <v>0</v>
      </c>
      <c r="L11" s="167">
        <f>J11*(1-K11)</f>
        <v>22773</v>
      </c>
      <c r="M11" s="10"/>
      <c r="N11" s="58"/>
    </row>
    <row r="12" spans="1:14" ht="12.75">
      <c r="A12" s="160" t="s">
        <v>58</v>
      </c>
      <c r="B12" s="162">
        <v>0.02</v>
      </c>
      <c r="C12" s="234"/>
      <c r="D12" s="14" t="s">
        <v>56</v>
      </c>
      <c r="E12" s="14"/>
      <c r="F12" s="167">
        <f>(1+B13)*8461</f>
        <v>8461</v>
      </c>
      <c r="G12" s="185">
        <v>0</v>
      </c>
      <c r="H12" s="15">
        <f>F12*(1-G12)</f>
        <v>8461</v>
      </c>
      <c r="I12" s="61">
        <v>0</v>
      </c>
      <c r="J12" s="168">
        <f>H12*(1-I12)</f>
        <v>8461</v>
      </c>
      <c r="K12" s="165">
        <v>0</v>
      </c>
      <c r="L12" s="167">
        <f>J12*(1-K12)</f>
        <v>8461</v>
      </c>
      <c r="M12" s="10"/>
      <c r="N12" s="91"/>
    </row>
    <row r="13" spans="1:14" ht="13.5" thickBot="1">
      <c r="A13" s="163" t="s">
        <v>32</v>
      </c>
      <c r="B13" s="164">
        <f>(1+B12)^B11-1</f>
        <v>0</v>
      </c>
      <c r="C13" s="235"/>
      <c r="D13" s="7" t="s">
        <v>44</v>
      </c>
      <c r="E13" s="7"/>
      <c r="F13" s="169">
        <f>(1+B13)*209</f>
        <v>209</v>
      </c>
      <c r="G13" s="187">
        <v>0</v>
      </c>
      <c r="H13" s="16">
        <f>F13*(1-G13)</f>
        <v>209</v>
      </c>
      <c r="I13" s="63"/>
      <c r="J13" s="16">
        <f>H13</f>
        <v>209</v>
      </c>
      <c r="K13" s="17"/>
      <c r="L13" s="16">
        <f>H13</f>
        <v>209</v>
      </c>
      <c r="M13" s="10"/>
      <c r="N13" s="58"/>
    </row>
    <row r="14" spans="4:14" ht="12.75">
      <c r="D14" s="7" t="s">
        <v>45</v>
      </c>
      <c r="E14" s="7"/>
      <c r="F14" s="191"/>
      <c r="G14" s="189"/>
      <c r="H14" s="7"/>
      <c r="I14" s="63"/>
      <c r="J14" s="171">
        <f>I10*H10+H11*I11+H12*I12</f>
        <v>0</v>
      </c>
      <c r="K14" s="17"/>
      <c r="L14" s="16">
        <f>J14</f>
        <v>0</v>
      </c>
      <c r="M14" s="10"/>
      <c r="N14" s="58"/>
    </row>
    <row r="15" spans="4:14" ht="12.75">
      <c r="D15" s="17" t="s">
        <v>46</v>
      </c>
      <c r="E15" s="17"/>
      <c r="F15" s="190">
        <f>(1+B13)*441</f>
        <v>441</v>
      </c>
      <c r="G15" s="188">
        <v>0</v>
      </c>
      <c r="H15" s="5">
        <f>F15*(1-G15)</f>
        <v>441</v>
      </c>
      <c r="I15" s="19"/>
      <c r="J15" s="5">
        <f>H15</f>
        <v>441</v>
      </c>
      <c r="K15" s="5"/>
      <c r="L15" s="173">
        <f>(K11*J11+K12*J12)/L9+J15</f>
        <v>441</v>
      </c>
      <c r="M15" s="10"/>
      <c r="N15" s="58"/>
    </row>
    <row r="16" spans="4:14" ht="13.5" thickBot="1">
      <c r="D16" s="2"/>
      <c r="E16" s="2"/>
      <c r="F16" s="23">
        <f>SUM(F10:F15)</f>
        <v>36390</v>
      </c>
      <c r="G16" s="124"/>
      <c r="H16" s="23">
        <f>SUM(H10:H15)</f>
        <v>36390</v>
      </c>
      <c r="I16" s="2"/>
      <c r="J16" s="23">
        <f>SUM(J10:J15)</f>
        <v>36390</v>
      </c>
      <c r="K16" s="2"/>
      <c r="L16" s="24">
        <f>SUM(L10:L15)</f>
        <v>36390</v>
      </c>
      <c r="M16" s="10"/>
      <c r="N16" s="58"/>
    </row>
    <row r="17" spans="8:14" ht="12.75">
      <c r="H17" s="10"/>
      <c r="I17" s="10"/>
      <c r="J17" s="10"/>
      <c r="K17" s="25" t="s">
        <v>11</v>
      </c>
      <c r="L17" s="26">
        <f>L16-F16</f>
        <v>0</v>
      </c>
      <c r="M17" s="10"/>
      <c r="N17" s="58"/>
    </row>
    <row r="18" spans="4:14" ht="18.75" thickBot="1">
      <c r="D18" s="21" t="s">
        <v>63</v>
      </c>
      <c r="G18" s="120" t="s">
        <v>39</v>
      </c>
      <c r="H18" s="10"/>
      <c r="I18" s="11" t="s">
        <v>10</v>
      </c>
      <c r="J18" s="177"/>
      <c r="K18" s="177"/>
      <c r="L18" s="177"/>
      <c r="M18" s="10"/>
      <c r="N18" s="58"/>
    </row>
    <row r="19" spans="1:14" ht="12.75">
      <c r="A19" s="238" t="s">
        <v>38</v>
      </c>
      <c r="B19" s="239"/>
      <c r="C19" s="236"/>
      <c r="D19" s="12" t="s">
        <v>40</v>
      </c>
      <c r="E19" s="12"/>
      <c r="F19" s="13">
        <f>(1+B22)*82</f>
        <v>82</v>
      </c>
      <c r="G19" s="192">
        <v>0</v>
      </c>
      <c r="H19" s="13">
        <f aca="true" t="shared" si="0" ref="H19:H26">F19*(1-G19)</f>
        <v>82</v>
      </c>
      <c r="I19" s="41"/>
      <c r="J19" s="46"/>
      <c r="K19" s="46"/>
      <c r="L19" s="46">
        <f>H19</f>
        <v>82</v>
      </c>
      <c r="M19" s="10"/>
      <c r="N19" s="58"/>
    </row>
    <row r="20" spans="1:14" ht="12.75">
      <c r="A20" s="160" t="s">
        <v>57</v>
      </c>
      <c r="B20" s="161">
        <v>0</v>
      </c>
      <c r="C20" s="233"/>
      <c r="D20" s="14" t="s">
        <v>1</v>
      </c>
      <c r="E20" s="14"/>
      <c r="F20" s="15">
        <f>(1+B22)*3992.04003057227</f>
        <v>3992.04003057227</v>
      </c>
      <c r="G20" s="193">
        <v>0</v>
      </c>
      <c r="H20" s="15">
        <f t="shared" si="0"/>
        <v>3992.04003057227</v>
      </c>
      <c r="I20" s="41"/>
      <c r="J20" s="47"/>
      <c r="K20" s="47"/>
      <c r="L20" s="47">
        <f>H20</f>
        <v>3992.04003057227</v>
      </c>
      <c r="M20" s="10"/>
      <c r="N20" s="58"/>
    </row>
    <row r="21" spans="1:14" ht="12.75">
      <c r="A21" s="160" t="s">
        <v>58</v>
      </c>
      <c r="B21" s="162">
        <v>0.02</v>
      </c>
      <c r="C21" s="234"/>
      <c r="D21" s="8" t="s">
        <v>43</v>
      </c>
      <c r="E21" s="8"/>
      <c r="F21" s="6">
        <f>(1+B22)*327</f>
        <v>327</v>
      </c>
      <c r="G21" s="194">
        <v>0</v>
      </c>
      <c r="H21" s="6">
        <f t="shared" si="0"/>
        <v>327</v>
      </c>
      <c r="I21" s="135"/>
      <c r="J21" s="178"/>
      <c r="K21" s="178"/>
      <c r="L21" s="48">
        <f>H21</f>
        <v>327</v>
      </c>
      <c r="M21" s="10"/>
      <c r="N21" s="58"/>
    </row>
    <row r="22" spans="1:14" ht="13.5" thickBot="1">
      <c r="A22" s="163" t="s">
        <v>32</v>
      </c>
      <c r="B22" s="164">
        <f>(1+B21)^B20-1</f>
        <v>0</v>
      </c>
      <c r="C22" s="235"/>
      <c r="D22" s="7" t="s">
        <v>44</v>
      </c>
      <c r="E22" s="7"/>
      <c r="F22" s="16">
        <f>(1+B22)*2067</f>
        <v>2067</v>
      </c>
      <c r="G22" s="195">
        <v>0</v>
      </c>
      <c r="H22" s="16">
        <f t="shared" si="0"/>
        <v>2067</v>
      </c>
      <c r="I22" s="135"/>
      <c r="J22" s="49"/>
      <c r="K22" s="49"/>
      <c r="L22" s="49">
        <f>H22</f>
        <v>2067</v>
      </c>
      <c r="M22" s="10"/>
      <c r="N22" s="58"/>
    </row>
    <row r="23" spans="4:14" ht="12.75">
      <c r="D23" s="17" t="s">
        <v>51</v>
      </c>
      <c r="E23" s="17"/>
      <c r="F23" s="5">
        <f>(1+B22)*1445</f>
        <v>1445</v>
      </c>
      <c r="G23" s="196">
        <v>0</v>
      </c>
      <c r="H23" s="5">
        <f t="shared" si="0"/>
        <v>1445</v>
      </c>
      <c r="I23" s="61">
        <v>0</v>
      </c>
      <c r="J23" s="98"/>
      <c r="K23" s="98"/>
      <c r="L23" s="179">
        <f>H23*(1-I23)</f>
        <v>1445</v>
      </c>
      <c r="M23" s="10"/>
      <c r="N23" s="58"/>
    </row>
    <row r="24" spans="4:14" ht="12.75">
      <c r="D24" s="17" t="s">
        <v>49</v>
      </c>
      <c r="E24" s="17"/>
      <c r="F24" s="5">
        <f>(1+B22)*374</f>
        <v>374</v>
      </c>
      <c r="G24" s="196">
        <v>0</v>
      </c>
      <c r="H24" s="5">
        <f t="shared" si="0"/>
        <v>374</v>
      </c>
      <c r="I24" s="61">
        <v>0</v>
      </c>
      <c r="J24" s="98"/>
      <c r="K24" s="98"/>
      <c r="L24" s="179">
        <f>H24*(1-I24)</f>
        <v>374</v>
      </c>
      <c r="M24" s="10"/>
      <c r="N24" s="58"/>
    </row>
    <row r="25" spans="4:14" ht="12.75">
      <c r="D25" s="17" t="s">
        <v>52</v>
      </c>
      <c r="E25" s="17"/>
      <c r="F25" s="5">
        <f>(1+B22)*535</f>
        <v>535</v>
      </c>
      <c r="G25" s="196">
        <v>0</v>
      </c>
      <c r="H25" s="5">
        <f t="shared" si="0"/>
        <v>535</v>
      </c>
      <c r="I25" s="180"/>
      <c r="J25" s="98"/>
      <c r="K25" s="98"/>
      <c r="L25" s="179">
        <f>H25</f>
        <v>535</v>
      </c>
      <c r="M25" s="10"/>
      <c r="N25" s="58"/>
    </row>
    <row r="26" spans="4:14" ht="12.75">
      <c r="D26" s="17" t="s">
        <v>47</v>
      </c>
      <c r="E26" s="17"/>
      <c r="F26" s="5">
        <f>(1+B22)*3000</f>
        <v>3000</v>
      </c>
      <c r="G26" s="196">
        <v>0</v>
      </c>
      <c r="H26" s="5">
        <f t="shared" si="0"/>
        <v>3000</v>
      </c>
      <c r="I26" s="180"/>
      <c r="J26" s="98"/>
      <c r="K26" s="98"/>
      <c r="L26" s="179">
        <f>H26</f>
        <v>3000</v>
      </c>
      <c r="M26" s="10"/>
      <c r="N26" s="58"/>
    </row>
    <row r="27" spans="4:14" ht="12.75">
      <c r="D27" s="7" t="s">
        <v>59</v>
      </c>
      <c r="E27" s="7"/>
      <c r="F27" s="7"/>
      <c r="G27" s="121"/>
      <c r="H27" s="7"/>
      <c r="I27" s="180"/>
      <c r="J27" s="180"/>
      <c r="K27" s="180"/>
      <c r="L27" s="181">
        <f>H23*I23+H24*I24</f>
        <v>0</v>
      </c>
      <c r="M27" s="10"/>
      <c r="N27" s="58"/>
    </row>
    <row r="28" spans="4:14" ht="13.5" thickBot="1">
      <c r="D28" s="2"/>
      <c r="E28" s="2"/>
      <c r="F28" s="23">
        <f>SUM(F19:F27)</f>
        <v>11822.04003057227</v>
      </c>
      <c r="G28" s="124"/>
      <c r="H28" s="23">
        <f>SUM(H19:H27)</f>
        <v>11822.04003057227</v>
      </c>
      <c r="I28" s="182"/>
      <c r="J28" s="182"/>
      <c r="K28" s="182"/>
      <c r="L28" s="183">
        <f>SUM(L19:L27)</f>
        <v>11822.04003057227</v>
      </c>
      <c r="M28" s="10"/>
      <c r="N28" s="58"/>
    </row>
    <row r="29" spans="8:14" ht="12.75">
      <c r="H29" s="10"/>
      <c r="I29" s="177"/>
      <c r="J29" s="177"/>
      <c r="K29" s="177"/>
      <c r="L29" s="177"/>
      <c r="M29" s="10"/>
      <c r="N29" s="58"/>
    </row>
    <row r="30" spans="4:14" ht="18.75" thickBot="1">
      <c r="D30" s="21" t="s">
        <v>64</v>
      </c>
      <c r="G30" s="120" t="s">
        <v>39</v>
      </c>
      <c r="H30" s="10"/>
      <c r="I30" s="11" t="s">
        <v>10</v>
      </c>
      <c r="J30" s="177"/>
      <c r="K30" s="177"/>
      <c r="L30" s="177"/>
      <c r="M30" s="10"/>
      <c r="N30" s="58"/>
    </row>
    <row r="31" spans="1:14" ht="12.75">
      <c r="A31" s="238" t="s">
        <v>38</v>
      </c>
      <c r="B31" s="239"/>
      <c r="C31" s="236"/>
      <c r="D31" s="14" t="s">
        <v>1</v>
      </c>
      <c r="E31" s="14"/>
      <c r="F31" s="15">
        <f>(1+B34)*1456.95996942773</f>
        <v>1456.95996942773</v>
      </c>
      <c r="G31" s="193">
        <v>0</v>
      </c>
      <c r="H31" s="15">
        <f aca="true" t="shared" si="1" ref="H31:H36">F31*(1-G31)</f>
        <v>1456.95996942773</v>
      </c>
      <c r="I31" s="41"/>
      <c r="J31" s="47"/>
      <c r="K31" s="47"/>
      <c r="L31" s="47">
        <f>H31</f>
        <v>1456.95996942773</v>
      </c>
      <c r="M31" s="10"/>
      <c r="N31" s="58"/>
    </row>
    <row r="32" spans="1:14" ht="12.75">
      <c r="A32" s="160" t="s">
        <v>57</v>
      </c>
      <c r="B32" s="161">
        <v>0</v>
      </c>
      <c r="C32" s="233"/>
      <c r="D32" s="8" t="s">
        <v>43</v>
      </c>
      <c r="E32" s="8"/>
      <c r="F32" s="6">
        <f>(1+B22)*2940</f>
        <v>2940</v>
      </c>
      <c r="G32" s="194">
        <v>0</v>
      </c>
      <c r="H32" s="6">
        <f t="shared" si="1"/>
        <v>2940</v>
      </c>
      <c r="I32" s="41"/>
      <c r="J32" s="48"/>
      <c r="K32" s="48"/>
      <c r="L32" s="48">
        <f>H32</f>
        <v>2940</v>
      </c>
      <c r="M32" s="10"/>
      <c r="N32" s="58"/>
    </row>
    <row r="33" spans="1:14" ht="12.75">
      <c r="A33" s="160" t="s">
        <v>58</v>
      </c>
      <c r="B33" s="162">
        <v>0.02</v>
      </c>
      <c r="C33" s="234"/>
      <c r="D33" s="17" t="s">
        <v>54</v>
      </c>
      <c r="E33" s="17"/>
      <c r="F33" s="5">
        <f>(1+B22)*373</f>
        <v>373</v>
      </c>
      <c r="G33" s="196">
        <v>0</v>
      </c>
      <c r="H33" s="5">
        <f t="shared" si="1"/>
        <v>373</v>
      </c>
      <c r="I33" s="41"/>
      <c r="J33" s="179"/>
      <c r="K33" s="179"/>
      <c r="L33" s="179">
        <f>H33</f>
        <v>373</v>
      </c>
      <c r="M33" s="10"/>
      <c r="N33" s="58"/>
    </row>
    <row r="34" spans="1:14" ht="13.5" thickBot="1">
      <c r="A34" s="163" t="s">
        <v>32</v>
      </c>
      <c r="B34" s="164">
        <f>(1+B33)^B32-1</f>
        <v>0</v>
      </c>
      <c r="C34" s="235"/>
      <c r="D34" s="17" t="s">
        <v>50</v>
      </c>
      <c r="E34" s="17"/>
      <c r="F34" s="5">
        <f>(1+B22)*1166</f>
        <v>1166</v>
      </c>
      <c r="G34" s="196">
        <v>0</v>
      </c>
      <c r="H34" s="5">
        <f t="shared" si="1"/>
        <v>1166</v>
      </c>
      <c r="I34" s="41"/>
      <c r="J34" s="179"/>
      <c r="K34" s="179"/>
      <c r="L34" s="179">
        <f>H34</f>
        <v>1166</v>
      </c>
      <c r="M34" s="10"/>
      <c r="N34" s="58"/>
    </row>
    <row r="35" spans="4:14" ht="12.75">
      <c r="D35" s="17" t="s">
        <v>65</v>
      </c>
      <c r="E35" s="17"/>
      <c r="F35" s="5">
        <f>(1+B22)*2474</f>
        <v>2474</v>
      </c>
      <c r="G35" s="196">
        <v>0</v>
      </c>
      <c r="H35" s="5">
        <f t="shared" si="1"/>
        <v>2474</v>
      </c>
      <c r="I35" s="61">
        <v>0</v>
      </c>
      <c r="J35" s="179"/>
      <c r="K35" s="179"/>
      <c r="L35" s="179">
        <f>H35*(1-I35)</f>
        <v>2474</v>
      </c>
      <c r="M35" s="10"/>
      <c r="N35" s="58"/>
    </row>
    <row r="36" spans="4:14" ht="12.75">
      <c r="D36" s="17" t="s">
        <v>66</v>
      </c>
      <c r="E36" s="17"/>
      <c r="F36" s="5">
        <f>(1+B22)*652</f>
        <v>652</v>
      </c>
      <c r="G36" s="196">
        <v>0</v>
      </c>
      <c r="H36" s="5">
        <f t="shared" si="1"/>
        <v>652</v>
      </c>
      <c r="I36" s="61">
        <v>0</v>
      </c>
      <c r="J36" s="179"/>
      <c r="K36" s="179"/>
      <c r="L36" s="179">
        <f>H36*(1-I36)</f>
        <v>652</v>
      </c>
      <c r="M36" s="10"/>
      <c r="N36" s="58"/>
    </row>
    <row r="37" spans="4:14" ht="12.75">
      <c r="D37" s="7" t="s">
        <v>59</v>
      </c>
      <c r="E37" s="7"/>
      <c r="F37" s="7"/>
      <c r="G37" s="121"/>
      <c r="H37" s="7"/>
      <c r="I37" s="180"/>
      <c r="J37" s="180"/>
      <c r="K37" s="180"/>
      <c r="L37" s="181">
        <f>I35*H35+I36*H36</f>
        <v>0</v>
      </c>
      <c r="M37" s="10"/>
      <c r="N37" s="58"/>
    </row>
    <row r="38" spans="4:14" ht="13.5" thickBot="1">
      <c r="D38" s="2"/>
      <c r="E38" s="2"/>
      <c r="F38" s="23">
        <f>SUM(F31:F37)</f>
        <v>9061.95996942773</v>
      </c>
      <c r="G38" s="124"/>
      <c r="H38" s="23">
        <f>SUM(H31:H37)</f>
        <v>9061.95996942773</v>
      </c>
      <c r="I38" s="2"/>
      <c r="J38" s="2"/>
      <c r="K38" s="2"/>
      <c r="L38" s="24">
        <f>SUM(L31:L37)</f>
        <v>9061.95996942773</v>
      </c>
      <c r="M38" s="10"/>
      <c r="N38" s="58"/>
    </row>
    <row r="39" spans="8:14" ht="13.5" thickBot="1">
      <c r="H39" s="10"/>
      <c r="I39" s="10"/>
      <c r="J39" s="10"/>
      <c r="K39" s="10"/>
      <c r="L39" s="10"/>
      <c r="M39" s="10"/>
      <c r="N39" s="58"/>
    </row>
    <row r="40" spans="7:14" ht="18.75" thickBot="1">
      <c r="G40" s="126"/>
      <c r="H40" s="59" t="s">
        <v>53</v>
      </c>
      <c r="I40" s="60">
        <v>87119</v>
      </c>
      <c r="J40" s="174" t="s">
        <v>12</v>
      </c>
      <c r="K40" s="175">
        <f>L38+L28+L16+L7</f>
        <v>87119</v>
      </c>
      <c r="L40" s="176" t="s">
        <v>3</v>
      </c>
      <c r="N40" s="58"/>
    </row>
    <row r="41" spans="8:14" ht="12.75">
      <c r="H41" s="10"/>
      <c r="I41" s="10"/>
      <c r="J41" s="10"/>
      <c r="K41" s="10"/>
      <c r="L41" s="10"/>
      <c r="M41" s="10"/>
      <c r="N41" s="58"/>
    </row>
    <row r="42" spans="1:14" ht="12.75">
      <c r="A42" s="89" t="s">
        <v>60</v>
      </c>
      <c r="H42" s="10"/>
      <c r="I42" s="10"/>
      <c r="J42" s="10"/>
      <c r="K42" s="10"/>
      <c r="L42" s="10"/>
      <c r="M42" s="10"/>
      <c r="N42" s="58"/>
    </row>
    <row r="43" spans="8:14" ht="12.75">
      <c r="H43" s="10"/>
      <c r="I43" s="10"/>
      <c r="J43" s="10"/>
      <c r="K43" s="10"/>
      <c r="L43" s="10"/>
      <c r="M43" s="10"/>
      <c r="N43" s="58"/>
    </row>
    <row r="44" ht="12.75">
      <c r="A44" s="231" t="s">
        <v>67</v>
      </c>
    </row>
  </sheetData>
  <mergeCells count="4">
    <mergeCell ref="A2:B2"/>
    <mergeCell ref="A10:B10"/>
    <mergeCell ref="A19:B19"/>
    <mergeCell ref="A31:B31"/>
  </mergeCells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landscape" paperSize="9" scale="83" r:id="rId1"/>
  <ignoredErrors>
    <ignoredError sqref="J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K26" sqref="K26"/>
    </sheetView>
  </sheetViews>
  <sheetFormatPr defaultColWidth="11.421875" defaultRowHeight="12.75"/>
  <cols>
    <col min="1" max="1" width="18.7109375" style="0" customWidth="1"/>
    <col min="2" max="2" width="5.421875" style="0" customWidth="1"/>
    <col min="4" max="4" width="0.85546875" style="18" customWidth="1"/>
    <col min="6" max="6" width="0.85546875" style="0" customWidth="1"/>
    <col min="7" max="7" width="14.140625" style="0" customWidth="1"/>
    <col min="8" max="8" width="18.140625" style="0" customWidth="1"/>
    <col min="9" max="9" width="1.28515625" style="0" customWidth="1"/>
    <col min="10" max="10" width="16.7109375" style="0" customWidth="1"/>
  </cols>
  <sheetData>
    <row r="1" spans="1:14" ht="18">
      <c r="A1" s="21" t="s">
        <v>83</v>
      </c>
      <c r="C1" s="1"/>
      <c r="D1" s="69"/>
      <c r="E1" s="1"/>
      <c r="F1" s="1"/>
      <c r="H1" s="222">
        <f>Dépenses!L6+Dépenses!L15+Dépenses!L23+Dépenses!L24+Dépenses!L25+Dépenses!L26+Dépenses!L33+Dépenses!L34+Dépenses!L35+Dépenses!L36</f>
        <v>18916</v>
      </c>
      <c r="I1" s="72" t="s">
        <v>3</v>
      </c>
      <c r="N1" s="90"/>
    </row>
    <row r="3" spans="1:11" ht="12.75">
      <c r="A3" s="1" t="s">
        <v>84</v>
      </c>
      <c r="B3" s="1"/>
      <c r="C3" s="64" t="s">
        <v>26</v>
      </c>
      <c r="D3" s="70"/>
      <c r="E3" s="1" t="s">
        <v>28</v>
      </c>
      <c r="G3" s="1" t="s">
        <v>81</v>
      </c>
      <c r="H3" s="1" t="s">
        <v>82</v>
      </c>
      <c r="J3" s="1" t="s">
        <v>25</v>
      </c>
      <c r="K3" s="114" t="s">
        <v>85</v>
      </c>
    </row>
    <row r="4" spans="1:11" ht="12.75">
      <c r="A4" s="65" t="s">
        <v>68</v>
      </c>
      <c r="B4" s="65"/>
      <c r="C4" s="87">
        <v>0.28426538841969107</v>
      </c>
      <c r="D4" s="32"/>
      <c r="E4" s="94">
        <v>5377.164087346876</v>
      </c>
      <c r="G4" s="3">
        <f>E4*Parametres!C$17</f>
        <v>537.7164087346877</v>
      </c>
      <c r="H4" s="3">
        <f>E4*Parametres!C$18</f>
        <v>457.0589474244845</v>
      </c>
      <c r="J4" s="197">
        <f>E4+G4+H4</f>
        <v>6371.939443506048</v>
      </c>
      <c r="K4" s="115">
        <f>E4/$E$14</f>
        <v>0.28426538841969107</v>
      </c>
    </row>
    <row r="5" spans="1:11" ht="12.75">
      <c r="A5" s="65" t="s">
        <v>69</v>
      </c>
      <c r="B5" s="65"/>
      <c r="C5" s="87">
        <v>0.15445864718861751</v>
      </c>
      <c r="D5" s="32"/>
      <c r="E5" s="94">
        <v>2921.739770219889</v>
      </c>
      <c r="G5" s="3">
        <f>E5*Parametres!C$17</f>
        <v>292.17397702198895</v>
      </c>
      <c r="H5" s="3">
        <f>E5*Parametres!C$18</f>
        <v>248.3478804686906</v>
      </c>
      <c r="J5" s="197">
        <f aca="true" t="shared" si="0" ref="J5:J13">E5+G5+H5</f>
        <v>3462.2616277105685</v>
      </c>
      <c r="K5" s="115">
        <f>E5/$E$14</f>
        <v>0.15445864718861751</v>
      </c>
    </row>
    <row r="6" spans="1:11" ht="12.75">
      <c r="A6" s="65" t="s">
        <v>70</v>
      </c>
      <c r="B6" s="65"/>
      <c r="C6" s="87">
        <v>0.09131096401126075</v>
      </c>
      <c r="D6" s="32"/>
      <c r="E6" s="94">
        <v>1727.2381952370083</v>
      </c>
      <c r="G6" s="3">
        <f>E6*Parametres!C$17</f>
        <v>172.72381952370085</v>
      </c>
      <c r="H6" s="3">
        <f>E6*Parametres!C$18</f>
        <v>146.8152465951457</v>
      </c>
      <c r="J6" s="197">
        <f t="shared" si="0"/>
        <v>2046.777261355855</v>
      </c>
      <c r="K6" s="115">
        <f>E6/$E$14</f>
        <v>0.09131096401126075</v>
      </c>
    </row>
    <row r="7" spans="1:12" ht="5.25" customHeight="1">
      <c r="A7" s="66"/>
      <c r="B7" s="66"/>
      <c r="C7" s="88"/>
      <c r="D7" s="32"/>
      <c r="E7" s="95"/>
      <c r="G7" s="71"/>
      <c r="H7" s="71"/>
      <c r="I7" s="71"/>
      <c r="J7" s="198"/>
      <c r="K7" s="116"/>
      <c r="L7" s="71"/>
    </row>
    <row r="8" spans="1:11" ht="12.75">
      <c r="A8" s="65" t="s">
        <v>73</v>
      </c>
      <c r="B8" s="65"/>
      <c r="C8" s="87">
        <v>0.23539146313627027</v>
      </c>
      <c r="D8" s="32"/>
      <c r="E8" s="94">
        <v>4452.664916685689</v>
      </c>
      <c r="G8" s="3">
        <f>E8*Parametres!C$17</f>
        <v>445.2664916685689</v>
      </c>
      <c r="H8" s="3">
        <f>E8*Parametres!C$18</f>
        <v>378.47651791828355</v>
      </c>
      <c r="J8" s="197">
        <f t="shared" si="0"/>
        <v>5276.407926272541</v>
      </c>
      <c r="K8" s="115">
        <f>E8/$E$14</f>
        <v>0.2353914631362703</v>
      </c>
    </row>
    <row r="9" spans="1:12" ht="5.25" customHeight="1">
      <c r="A9" s="66"/>
      <c r="B9" s="66"/>
      <c r="C9" s="88"/>
      <c r="D9" s="32"/>
      <c r="E9" s="95"/>
      <c r="G9" s="71"/>
      <c r="H9" s="71"/>
      <c r="I9" s="71"/>
      <c r="J9" s="198"/>
      <c r="K9" s="116"/>
      <c r="L9" s="71"/>
    </row>
    <row r="10" spans="1:12" ht="12.75">
      <c r="A10" s="65" t="s">
        <v>79</v>
      </c>
      <c r="B10" s="118">
        <f>Parametres!C6*(1-Parametres!C17)*(1-Parametres!C18)</f>
        <v>3540.4127257093724</v>
      </c>
      <c r="C10" s="87">
        <v>0.16699764132998554</v>
      </c>
      <c r="D10" s="32"/>
      <c r="E10" s="94">
        <v>3158.9273833980064</v>
      </c>
      <c r="G10" s="3">
        <f>E10*Parametres!C$17</f>
        <v>315.89273833980064</v>
      </c>
      <c r="H10" s="3">
        <f>E10*Parametres!C$18</f>
        <v>268.50882758883057</v>
      </c>
      <c r="J10" s="197">
        <f>E10+G10+H10</f>
        <v>3743.328949326638</v>
      </c>
      <c r="K10" s="115">
        <f>E10/$E$14</f>
        <v>0.16699764132998554</v>
      </c>
      <c r="L10" s="76" t="s">
        <v>18</v>
      </c>
    </row>
    <row r="11" spans="1:12" ht="12.75">
      <c r="A11" s="65" t="s">
        <v>76</v>
      </c>
      <c r="B11" s="65"/>
      <c r="C11" s="87">
        <v>0.045937000684775166</v>
      </c>
      <c r="D11" s="32"/>
      <c r="E11" s="94">
        <v>868.944304953207</v>
      </c>
      <c r="G11" s="97" t="s">
        <v>27</v>
      </c>
      <c r="H11" s="3">
        <f>E11*Parametres!C$18</f>
        <v>73.8602659210226</v>
      </c>
      <c r="J11" s="197">
        <f>E11+H11</f>
        <v>942.8045708742296</v>
      </c>
      <c r="K11" s="115">
        <f>E11/$E$14</f>
        <v>0.045937000684775166</v>
      </c>
      <c r="L11" s="77" t="s">
        <v>86</v>
      </c>
    </row>
    <row r="12" spans="1:12" ht="12.75">
      <c r="A12" s="65" t="s">
        <v>77</v>
      </c>
      <c r="B12" s="65"/>
      <c r="C12" s="87">
        <v>0.00015217225899718482</v>
      </c>
      <c r="D12" s="32"/>
      <c r="E12" s="94">
        <v>2.878490451190748</v>
      </c>
      <c r="G12" s="97" t="s">
        <v>27</v>
      </c>
      <c r="H12" s="3">
        <f>E12*Parametres!C$18</f>
        <v>0.2446716883512136</v>
      </c>
      <c r="J12" s="197">
        <f>E12+H12</f>
        <v>3.1231621395419618</v>
      </c>
      <c r="K12" s="115">
        <f>E12/$E$14</f>
        <v>0.00015217225899718482</v>
      </c>
      <c r="L12" s="78">
        <f>SUM(E10:E13)/E14</f>
        <v>0.23457353724416038</v>
      </c>
    </row>
    <row r="13" spans="1:12" ht="13.5" thickBot="1">
      <c r="A13" s="65" t="s">
        <v>78</v>
      </c>
      <c r="B13" s="65"/>
      <c r="C13" s="87">
        <v>0.021486722970402494</v>
      </c>
      <c r="D13" s="32"/>
      <c r="E13" s="96">
        <v>406.44285170813356</v>
      </c>
      <c r="G13" s="4">
        <f>E13*Parametres!C$17</f>
        <v>40.64428517081336</v>
      </c>
      <c r="H13" s="4">
        <f>E13*Parametres!C$18</f>
        <v>34.54764239519135</v>
      </c>
      <c r="J13" s="199">
        <f t="shared" si="0"/>
        <v>481.6347792741383</v>
      </c>
      <c r="K13" s="115">
        <f>E13/$E$14</f>
        <v>0.021486722970402494</v>
      </c>
      <c r="L13" s="84" t="s">
        <v>20</v>
      </c>
    </row>
    <row r="14" spans="3:10" ht="12.75">
      <c r="C14" s="204"/>
      <c r="D14" s="205"/>
      <c r="E14" s="201">
        <f>SUM(E4:E13)</f>
        <v>18916</v>
      </c>
      <c r="F14" s="221"/>
      <c r="G14" s="201">
        <f>SUM(G4:G13)</f>
        <v>1804.4177204595603</v>
      </c>
      <c r="H14" s="201">
        <f>SUM(H4:H13)</f>
        <v>1607.8600000000001</v>
      </c>
      <c r="I14" s="200"/>
      <c r="J14" s="201">
        <f>SUM(J4:J13)</f>
        <v>22328.277720459562</v>
      </c>
    </row>
    <row r="15" spans="3:6" ht="12.75">
      <c r="C15" s="202" t="s">
        <v>16</v>
      </c>
      <c r="D15" s="202"/>
      <c r="E15" s="203">
        <f>H1-E14</f>
        <v>0</v>
      </c>
      <c r="F15" s="68"/>
    </row>
    <row r="17" ht="12.75">
      <c r="A17" s="89"/>
    </row>
    <row r="18" ht="12.75">
      <c r="A18" s="89" t="s">
        <v>80</v>
      </c>
    </row>
    <row r="20" spans="1:11" ht="12.75">
      <c r="A20" s="231" t="str">
        <f>Dépenses!A44</f>
        <v>Les paramètres ajustables sont en rouges. Le reste se calcule automatiquement</v>
      </c>
      <c r="K20" s="93"/>
    </row>
  </sheetData>
  <conditionalFormatting sqref="L10">
    <cfRule type="expression" priority="1" dxfId="0" stopIfTrue="1">
      <formula>$E$10&gt;#REF!</formula>
    </cfRule>
  </conditionalFormatting>
  <printOptions horizontalCentered="1"/>
  <pageMargins left="0.7874015748031497" right="0.5905511811023623" top="0.7874015748031497" bottom="0.787401574803149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 topLeftCell="A1">
      <selection activeCell="L31" sqref="L31"/>
    </sheetView>
  </sheetViews>
  <sheetFormatPr defaultColWidth="11.421875" defaultRowHeight="12.75"/>
  <cols>
    <col min="1" max="1" width="4.57421875" style="0" customWidth="1"/>
    <col min="2" max="2" width="15.00390625" style="0" customWidth="1"/>
    <col min="3" max="3" width="8.421875" style="0" customWidth="1"/>
    <col min="4" max="4" width="9.7109375" style="0" customWidth="1"/>
    <col min="5" max="5" width="1.28515625" style="18" customWidth="1"/>
    <col min="6" max="6" width="8.57421875" style="0" customWidth="1"/>
    <col min="7" max="8" width="11.00390625" style="0" customWidth="1"/>
    <col min="9" max="9" width="1.28515625" style="18" customWidth="1"/>
    <col min="10" max="10" width="5.421875" style="127" customWidth="1"/>
    <col min="11" max="11" width="1.28515625" style="0" customWidth="1"/>
    <col min="12" max="12" width="8.7109375" style="9" customWidth="1"/>
    <col min="13" max="13" width="16.8515625" style="0" customWidth="1"/>
    <col min="14" max="14" width="1.57421875" style="18" customWidth="1"/>
    <col min="15" max="15" width="6.28125" style="0" customWidth="1"/>
    <col min="16" max="16" width="9.7109375" style="0" customWidth="1"/>
    <col min="17" max="17" width="7.140625" style="0" customWidth="1"/>
    <col min="18" max="18" width="6.421875" style="0" customWidth="1"/>
    <col min="19" max="19" width="6.00390625" style="0" customWidth="1"/>
  </cols>
  <sheetData>
    <row r="1" ht="18">
      <c r="A1" s="21" t="s">
        <v>115</v>
      </c>
    </row>
    <row r="2" spans="4:15" ht="12.75">
      <c r="D2" s="10"/>
      <c r="E2" s="20"/>
      <c r="F2" s="242"/>
      <c r="G2" s="242"/>
      <c r="H2" s="242"/>
      <c r="I2" s="110"/>
      <c r="J2" s="128"/>
      <c r="L2" s="37"/>
      <c r="M2" s="10"/>
      <c r="N2" s="20"/>
      <c r="O2" s="10"/>
    </row>
    <row r="3" spans="4:15" ht="12.75">
      <c r="D3" s="10"/>
      <c r="E3" s="20"/>
      <c r="F3" s="240" t="s">
        <v>112</v>
      </c>
      <c r="G3" s="240"/>
      <c r="H3" s="240"/>
      <c r="I3" s="110"/>
      <c r="J3" s="129" t="s">
        <v>34</v>
      </c>
      <c r="L3" s="241" t="s">
        <v>88</v>
      </c>
      <c r="M3" s="241"/>
      <c r="N3" s="134"/>
      <c r="O3" s="10"/>
    </row>
    <row r="4" spans="3:15" ht="12.75">
      <c r="C4" s="1" t="s">
        <v>3</v>
      </c>
      <c r="D4" s="11" t="s">
        <v>2</v>
      </c>
      <c r="E4" s="40"/>
      <c r="F4" s="106" t="s">
        <v>35</v>
      </c>
      <c r="G4" s="37" t="s">
        <v>29</v>
      </c>
      <c r="H4" s="206" t="s">
        <v>4</v>
      </c>
      <c r="I4" s="207"/>
      <c r="J4" s="237" t="s">
        <v>33</v>
      </c>
      <c r="O4" s="10"/>
    </row>
    <row r="5" spans="1:15" ht="12.75">
      <c r="A5" s="27" t="s">
        <v>40</v>
      </c>
      <c r="B5" s="27"/>
      <c r="C5" s="33">
        <f>Dépenses!L2+Dépenses!L19</f>
        <v>1833</v>
      </c>
      <c r="D5" s="46">
        <f>C5*Parametres!$C$13</f>
        <v>21317.79</v>
      </c>
      <c r="E5" s="41"/>
      <c r="F5" s="107">
        <v>899</v>
      </c>
      <c r="G5" s="105">
        <f>F5*Parametres!D$22</f>
        <v>632.363596577414</v>
      </c>
      <c r="H5" s="208">
        <f aca="true" t="shared" si="0" ref="H5:H10">G5*D5/10^6</f>
        <v>13.480594355482031</v>
      </c>
      <c r="I5" s="209"/>
      <c r="J5" s="130"/>
      <c r="L5" s="42" t="s">
        <v>89</v>
      </c>
      <c r="M5" s="12"/>
      <c r="N5" s="20"/>
      <c r="O5" s="10"/>
    </row>
    <row r="6" spans="1:15" ht="12.75">
      <c r="A6" s="28" t="s">
        <v>42</v>
      </c>
      <c r="B6" s="28"/>
      <c r="C6" s="34">
        <f>Dépenses!L3+Dépenses!L10+Dépenses!L11+Dépenses!L12+Dépenses!L20+Dépenses!L31</f>
        <v>47858</v>
      </c>
      <c r="D6" s="47">
        <f>C6*Parametres!$C$13</f>
        <v>556588.54</v>
      </c>
      <c r="E6" s="41"/>
      <c r="F6" s="108">
        <v>622</v>
      </c>
      <c r="G6" s="47">
        <f>F6*Parametres!D$22</f>
        <v>437.5196407910473</v>
      </c>
      <c r="H6" s="210">
        <f t="shared" si="0"/>
        <v>243.5184180892135</v>
      </c>
      <c r="I6" s="209"/>
      <c r="J6" s="130"/>
      <c r="L6" s="43" t="s">
        <v>89</v>
      </c>
      <c r="M6" s="14"/>
      <c r="N6" s="20"/>
      <c r="O6" s="10"/>
    </row>
    <row r="7" spans="1:15" ht="12.75">
      <c r="A7" s="29" t="s">
        <v>43</v>
      </c>
      <c r="B7" s="29"/>
      <c r="C7" s="35">
        <f>Dépenses!L4+Dépenses!L21+Dépenses!L32</f>
        <v>14893</v>
      </c>
      <c r="D7" s="48">
        <f>C7*Parametres!$C$13</f>
        <v>173205.59000000003</v>
      </c>
      <c r="E7" s="41"/>
      <c r="F7" s="109">
        <v>386</v>
      </c>
      <c r="G7" s="48">
        <f>F7*Parametres!D$22</f>
        <v>271.51540409219336</v>
      </c>
      <c r="H7" s="211">
        <f t="shared" si="0"/>
        <v>47.02798575987677</v>
      </c>
      <c r="I7" s="209"/>
      <c r="J7" s="130"/>
      <c r="L7" s="44" t="s">
        <v>89</v>
      </c>
      <c r="M7" s="7"/>
      <c r="N7" s="20"/>
      <c r="O7" s="10"/>
    </row>
    <row r="8" spans="1:15" ht="12.75" customHeight="1">
      <c r="A8" s="74" t="s">
        <v>17</v>
      </c>
      <c r="B8" s="31" t="s">
        <v>68</v>
      </c>
      <c r="C8" s="67">
        <f>'Prod Elec'!J4</f>
        <v>6371.939443506048</v>
      </c>
      <c r="D8" s="5">
        <f>C8*Parametres!$C$13</f>
        <v>74105.65572797533</v>
      </c>
      <c r="E8" s="41"/>
      <c r="G8" s="103">
        <v>899</v>
      </c>
      <c r="H8" s="212">
        <f t="shared" si="0"/>
        <v>66.62098449944983</v>
      </c>
      <c r="I8" s="209"/>
      <c r="J8" s="130"/>
      <c r="L8" s="73"/>
      <c r="M8" s="17"/>
      <c r="N8" s="20"/>
      <c r="O8" s="10"/>
    </row>
    <row r="9" spans="1:15" ht="12.75" customHeight="1">
      <c r="A9" s="31"/>
      <c r="B9" s="31" t="s">
        <v>69</v>
      </c>
      <c r="C9" s="67">
        <f>'Prod Elec'!J5</f>
        <v>3462.2616277105685</v>
      </c>
      <c r="D9" s="5">
        <f>C9*Parametres!$C$13</f>
        <v>40266.10273027392</v>
      </c>
      <c r="E9" s="41"/>
      <c r="G9" s="17">
        <v>386</v>
      </c>
      <c r="H9" s="212">
        <f t="shared" si="0"/>
        <v>15.54271565388573</v>
      </c>
      <c r="I9" s="209"/>
      <c r="J9" s="130"/>
      <c r="L9" s="73">
        <f>ROUNDUP((D8+D9+D10)/1000/Parametres!C2,0)</f>
        <v>20</v>
      </c>
      <c r="M9" s="98" t="s">
        <v>90</v>
      </c>
      <c r="N9" s="135"/>
      <c r="O9" s="10"/>
    </row>
    <row r="10" spans="1:15" ht="12.75" customHeight="1">
      <c r="A10" s="31"/>
      <c r="B10" s="31" t="s">
        <v>70</v>
      </c>
      <c r="C10" s="67">
        <f>'Prod Elec'!J6</f>
        <v>2046.777261355855</v>
      </c>
      <c r="D10" s="5">
        <f>C10*Parametres!$C$13</f>
        <v>23804.019549568595</v>
      </c>
      <c r="E10" s="41"/>
      <c r="G10" s="17">
        <v>622</v>
      </c>
      <c r="H10" s="212">
        <f t="shared" si="0"/>
        <v>14.806100159831665</v>
      </c>
      <c r="I10" s="209"/>
      <c r="J10" s="130"/>
      <c r="L10" s="99"/>
      <c r="M10" s="17"/>
      <c r="N10" s="20"/>
      <c r="O10" s="10"/>
    </row>
    <row r="11" spans="1:15" ht="3.75" customHeight="1">
      <c r="A11" s="39"/>
      <c r="B11" s="39"/>
      <c r="C11" s="55">
        <f>'Prod Elec'!E7</f>
        <v>0</v>
      </c>
      <c r="D11" s="19"/>
      <c r="E11" s="41"/>
      <c r="G11" s="20"/>
      <c r="H11" s="209"/>
      <c r="I11" s="209"/>
      <c r="J11" s="130"/>
      <c r="L11" s="45"/>
      <c r="M11" s="20"/>
      <c r="N11" s="20"/>
      <c r="O11" s="10"/>
    </row>
    <row r="12" spans="1:15" ht="12.75" customHeight="1">
      <c r="A12" s="31"/>
      <c r="B12" s="31" t="s">
        <v>74</v>
      </c>
      <c r="C12" s="67">
        <f>'Prod Elec'!J8</f>
        <v>5276.407926272541</v>
      </c>
      <c r="D12" s="5">
        <f>C12*Parametres!$C$13</f>
        <v>61364.624182549655</v>
      </c>
      <c r="E12" s="41"/>
      <c r="G12" s="17">
        <v>8</v>
      </c>
      <c r="H12" s="212">
        <f>G12*D12/10^6</f>
        <v>0.49091699346039724</v>
      </c>
      <c r="I12" s="209"/>
      <c r="J12" s="130"/>
      <c r="L12" s="73">
        <f>ROUNDUP(D12/1000/Parametres!C3,0)</f>
        <v>8</v>
      </c>
      <c r="M12" s="17" t="s">
        <v>91</v>
      </c>
      <c r="N12" s="20"/>
      <c r="O12" s="10"/>
    </row>
    <row r="13" spans="1:15" ht="3.75" customHeight="1">
      <c r="A13" s="39"/>
      <c r="B13" s="39"/>
      <c r="C13" s="55"/>
      <c r="D13" s="19"/>
      <c r="E13" s="41"/>
      <c r="G13" s="20"/>
      <c r="H13" s="209"/>
      <c r="I13" s="209"/>
      <c r="J13" s="130"/>
      <c r="L13" s="45"/>
      <c r="M13" s="20"/>
      <c r="N13" s="20"/>
      <c r="O13" s="10"/>
    </row>
    <row r="14" spans="1:19" ht="12.75" customHeight="1">
      <c r="A14" s="31"/>
      <c r="B14" s="31" t="s">
        <v>13</v>
      </c>
      <c r="C14" s="67">
        <f>'Prod Elec'!J10</f>
        <v>3743.328949326638</v>
      </c>
      <c r="D14" s="5">
        <f>C14*Parametres!$C$13</f>
        <v>43534.915680668804</v>
      </c>
      <c r="E14" s="79"/>
      <c r="G14" s="17">
        <v>10</v>
      </c>
      <c r="H14" s="212">
        <f>G14*D14/10^6</f>
        <v>0.43534915680668806</v>
      </c>
      <c r="I14" s="209"/>
      <c r="L14" s="100">
        <f>D14/Parametres!C5/1000</f>
        <v>0.870698313613376</v>
      </c>
      <c r="M14" s="17" t="s">
        <v>92</v>
      </c>
      <c r="N14" s="20"/>
      <c r="O14" s="137">
        <f>L15/Parametres!C30</f>
        <v>0.18550165218946846</v>
      </c>
      <c r="P14" s="138" t="s">
        <v>95</v>
      </c>
      <c r="Q14" s="145"/>
      <c r="R14" s="145"/>
      <c r="S14" s="145"/>
    </row>
    <row r="15" spans="1:19" ht="12.75" customHeight="1">
      <c r="A15" s="31"/>
      <c r="B15" s="31" t="s">
        <v>76</v>
      </c>
      <c r="C15" s="67">
        <f>'Prod Elec'!J11</f>
        <v>942.8045708742296</v>
      </c>
      <c r="D15" s="5">
        <f>C15*Parametres!$C$13</f>
        <v>10964.817159267292</v>
      </c>
      <c r="E15" s="79"/>
      <c r="G15" s="17">
        <v>7</v>
      </c>
      <c r="H15" s="212">
        <f>G15*D15/10^6</f>
        <v>0.07675372011487104</v>
      </c>
      <c r="I15" s="209"/>
      <c r="J15" s="131">
        <f>IF('Prod Elec'!K11&lt;Parametres!$G$2,0,('Prod Elec'!K11-Parametres!$G$2)/(1-Parametres!$G$2))</f>
        <v>0</v>
      </c>
      <c r="K15" s="117">
        <f>1-J15*(1-Parametres!$C$20)</f>
        <v>1</v>
      </c>
      <c r="L15" s="142">
        <f>D15/Parametres!C11/K15</f>
        <v>2308.3825598457456</v>
      </c>
      <c r="M15" s="136" t="s">
        <v>93</v>
      </c>
      <c r="N15" s="136"/>
      <c r="O15" s="139">
        <f>L15/Parametres!C28</f>
        <v>0.05760012376099775</v>
      </c>
      <c r="P15" s="140" t="s">
        <v>96</v>
      </c>
      <c r="Q15" s="146"/>
      <c r="R15" s="146"/>
      <c r="S15" s="146"/>
    </row>
    <row r="16" spans="1:19" ht="12.75" customHeight="1">
      <c r="A16" s="31"/>
      <c r="B16" s="31" t="s">
        <v>77</v>
      </c>
      <c r="C16" s="67">
        <f>'Prod Elec'!J12</f>
        <v>3.1231621395419618</v>
      </c>
      <c r="D16" s="5">
        <f>C16*Parametres!$C$13</f>
        <v>36.322375682873016</v>
      </c>
      <c r="E16" s="79"/>
      <c r="G16" s="17">
        <v>5</v>
      </c>
      <c r="H16" s="212">
        <f>G16*D16/10^6</f>
        <v>0.0001816118784143651</v>
      </c>
      <c r="I16" s="209"/>
      <c r="J16" s="131">
        <f>IF('Prod Elec'!K12&lt;Parametres!$G$2,0,('Prod Elec'!K12-Parametres!$G$2)/(1-Parametres!$G$2))</f>
        <v>0</v>
      </c>
      <c r="K16" s="117">
        <f>1-J16*(1-Parametres!$C$20)</f>
        <v>1</v>
      </c>
      <c r="L16" s="73">
        <f>D16/Parametres!C9/K16</f>
        <v>0.24214917121915344</v>
      </c>
      <c r="M16" s="17" t="s">
        <v>94</v>
      </c>
      <c r="N16" s="17"/>
      <c r="O16" s="141">
        <f>L16/Parametres!C25</f>
        <v>4.798406230501708E-07</v>
      </c>
      <c r="P16" s="138" t="s">
        <v>37</v>
      </c>
      <c r="Q16" s="137">
        <f>L16/Parametres!C$26</f>
        <v>1.3494528036205553E-06</v>
      </c>
      <c r="R16" s="138" t="s">
        <v>101</v>
      </c>
      <c r="S16" s="145"/>
    </row>
    <row r="17" spans="1:15" ht="3.75" customHeight="1">
      <c r="A17" s="39"/>
      <c r="B17" s="39"/>
      <c r="C17" s="55"/>
      <c r="D17" s="19"/>
      <c r="E17" s="79"/>
      <c r="G17" s="20"/>
      <c r="H17" s="209"/>
      <c r="I17" s="209"/>
      <c r="J17" s="130"/>
      <c r="L17" s="45"/>
      <c r="M17" s="20"/>
      <c r="N17" s="20"/>
      <c r="O17" s="86"/>
    </row>
    <row r="18" spans="1:19" ht="12.75" customHeight="1">
      <c r="A18" s="31"/>
      <c r="B18" s="31" t="s">
        <v>78</v>
      </c>
      <c r="C18" s="67">
        <f>'Prod Elec'!J13</f>
        <v>481.6347792741383</v>
      </c>
      <c r="D18" s="5">
        <f>C18*Parametres!$C$13</f>
        <v>5601.412482958229</v>
      </c>
      <c r="E18" s="79"/>
      <c r="G18" s="7">
        <v>0</v>
      </c>
      <c r="H18" s="213">
        <f>G18*D18/10^6</f>
        <v>0</v>
      </c>
      <c r="I18" s="209"/>
      <c r="J18" s="130"/>
      <c r="L18" s="101">
        <f>(D19+D18)/Parametres!C8</f>
        <v>8017.823120739557</v>
      </c>
      <c r="M18" s="7" t="s">
        <v>97</v>
      </c>
      <c r="N18" s="7"/>
      <c r="O18" s="143">
        <f>L18/Parametres!C25</f>
        <v>0.015888046291431715</v>
      </c>
      <c r="P18" s="144" t="s">
        <v>36</v>
      </c>
      <c r="Q18" s="147"/>
      <c r="R18" s="144"/>
      <c r="S18" s="148"/>
    </row>
    <row r="19" spans="1:19" ht="12.75">
      <c r="A19" s="30" t="s">
        <v>44</v>
      </c>
      <c r="B19" s="30"/>
      <c r="C19" s="36">
        <f>Dépenses!L13+Dépenses!L22</f>
        <v>2276</v>
      </c>
      <c r="D19" s="49">
        <f>C19*Parametres!$C$13</f>
        <v>26469.88</v>
      </c>
      <c r="E19" s="79"/>
      <c r="G19" s="7">
        <v>0</v>
      </c>
      <c r="H19" s="213">
        <f>G19*D19/10^6</f>
        <v>0</v>
      </c>
      <c r="I19" s="209"/>
      <c r="J19" s="130"/>
      <c r="L19" s="101"/>
      <c r="M19" s="7"/>
      <c r="N19" s="20"/>
      <c r="O19" s="143">
        <f>L18/Parametres!C27</f>
        <v>0.16109456549497603</v>
      </c>
      <c r="P19" s="144" t="s">
        <v>100</v>
      </c>
      <c r="Q19" s="147"/>
      <c r="R19" s="144"/>
      <c r="S19" s="148"/>
    </row>
    <row r="20" spans="1:15" ht="3.75" customHeight="1">
      <c r="A20" s="40"/>
      <c r="B20" s="40"/>
      <c r="C20" s="55"/>
      <c r="D20" s="19"/>
      <c r="E20" s="79"/>
      <c r="G20" s="20"/>
      <c r="H20" s="209"/>
      <c r="I20" s="209"/>
      <c r="J20" s="130"/>
      <c r="L20" s="45"/>
      <c r="M20" s="20"/>
      <c r="N20" s="20"/>
      <c r="O20" s="86"/>
    </row>
    <row r="21" spans="1:19" ht="12.75">
      <c r="A21" s="30" t="s">
        <v>45</v>
      </c>
      <c r="B21" s="30"/>
      <c r="C21" s="36">
        <f>Dépenses!L14</f>
        <v>0</v>
      </c>
      <c r="D21" s="49">
        <f>C21*11.62</f>
        <v>0</v>
      </c>
      <c r="E21" s="79"/>
      <c r="G21" s="7">
        <v>0</v>
      </c>
      <c r="H21" s="213">
        <f>G21*D21/10^6</f>
        <v>0</v>
      </c>
      <c r="I21" s="209"/>
      <c r="J21" s="130"/>
      <c r="L21" s="149">
        <f>D21/Parametres!C7</f>
        <v>0</v>
      </c>
      <c r="M21" s="150" t="s">
        <v>98</v>
      </c>
      <c r="N21" s="150"/>
      <c r="O21" s="151">
        <f>L21/Parametres!C25</f>
        <v>0</v>
      </c>
      <c r="P21" s="152" t="s">
        <v>37</v>
      </c>
      <c r="Q21" s="147">
        <f>L21/Parametres!C$26</f>
        <v>0</v>
      </c>
      <c r="R21" s="144" t="s">
        <v>101</v>
      </c>
      <c r="S21" s="148"/>
    </row>
    <row r="22" spans="1:16" ht="13.5" thickBot="1">
      <c r="A22" s="30" t="s">
        <v>71</v>
      </c>
      <c r="B22" s="30"/>
      <c r="C22" s="56">
        <f>Dépenses!L27+Dépenses!L37</f>
        <v>0</v>
      </c>
      <c r="D22" s="57">
        <f>C22*11.62</f>
        <v>0</v>
      </c>
      <c r="E22" s="79"/>
      <c r="G22" s="7">
        <v>5</v>
      </c>
      <c r="H22" s="220">
        <f>G22*D22/10^6</f>
        <v>0</v>
      </c>
      <c r="I22" s="209"/>
      <c r="J22" s="130"/>
      <c r="L22" s="101">
        <f>D22/Parametres!C10</f>
        <v>0</v>
      </c>
      <c r="M22" s="7" t="s">
        <v>99</v>
      </c>
      <c r="N22" s="7"/>
      <c r="O22" s="143">
        <f>L22/Parametres!C25</f>
        <v>0</v>
      </c>
      <c r="P22" s="144" t="s">
        <v>36</v>
      </c>
    </row>
    <row r="23" spans="3:14" ht="12.75">
      <c r="C23" s="214">
        <f>SUM(C5:C22)</f>
        <v>89188.27772045956</v>
      </c>
      <c r="D23" s="214">
        <f>SUM(D5:D22)</f>
        <v>1037259.669888945</v>
      </c>
      <c r="E23" s="79"/>
      <c r="F23" s="58"/>
      <c r="G23" s="58"/>
      <c r="H23" s="214">
        <f>SUM(H5:H18)</f>
        <v>402</v>
      </c>
      <c r="I23" s="215"/>
      <c r="J23" s="132"/>
      <c r="L23" s="102"/>
      <c r="M23" s="10"/>
      <c r="N23" s="20"/>
    </row>
    <row r="24" spans="2:16" ht="12.75">
      <c r="B24" s="50"/>
      <c r="E24" s="79"/>
      <c r="G24" s="219" t="s">
        <v>113</v>
      </c>
      <c r="H24" s="216">
        <v>402</v>
      </c>
      <c r="I24" s="216" t="s">
        <v>4</v>
      </c>
      <c r="M24" s="155" t="s">
        <v>102</v>
      </c>
      <c r="P24" s="10"/>
    </row>
    <row r="25" spans="5:17" ht="12.75">
      <c r="E25" s="79"/>
      <c r="G25" s="219" t="s">
        <v>30</v>
      </c>
      <c r="H25" s="217">
        <f>H24*115/140</f>
        <v>330.2142857142857</v>
      </c>
      <c r="I25" s="218"/>
      <c r="J25" s="133"/>
      <c r="M25" s="51" t="s">
        <v>103</v>
      </c>
      <c r="P25" s="85">
        <f>Parametres!C26-Parametres!C27</f>
        <v>129671.57999999999</v>
      </c>
      <c r="Q25" s="51" t="s">
        <v>22</v>
      </c>
    </row>
    <row r="26" spans="3:17" ht="12.75">
      <c r="C26" s="80" t="s">
        <v>87</v>
      </c>
      <c r="D26" s="81">
        <f>SUM(D14:D22)/D23</f>
        <v>0.08349630301142422</v>
      </c>
      <c r="E26" s="79"/>
      <c r="M26" s="153" t="s">
        <v>104</v>
      </c>
      <c r="P26" s="85">
        <f>L18</f>
        <v>8017.823120739557</v>
      </c>
      <c r="Q26" s="51" t="s">
        <v>22</v>
      </c>
    </row>
    <row r="27" spans="3:17" ht="12.75">
      <c r="C27" s="82" t="s">
        <v>114</v>
      </c>
      <c r="D27" s="83">
        <v>0.12</v>
      </c>
      <c r="E27" s="20"/>
      <c r="M27" s="153" t="s">
        <v>105</v>
      </c>
      <c r="P27" s="85">
        <f>L21</f>
        <v>0</v>
      </c>
      <c r="Q27" s="51" t="s">
        <v>22</v>
      </c>
    </row>
    <row r="28" spans="5:17" ht="12.75">
      <c r="E28" s="38"/>
      <c r="M28" s="153" t="s">
        <v>106</v>
      </c>
      <c r="P28" s="154">
        <f>L16</f>
        <v>0.24214917121915344</v>
      </c>
      <c r="Q28" s="51" t="s">
        <v>22</v>
      </c>
    </row>
    <row r="29" spans="1:17" ht="12.75">
      <c r="A29" s="89" t="s">
        <v>109</v>
      </c>
      <c r="E29" s="38"/>
      <c r="N29"/>
      <c r="O29" s="18"/>
      <c r="P29" s="156">
        <f>SUM(P25:P28)</f>
        <v>137689.64526991075</v>
      </c>
      <c r="Q29" s="157" t="s">
        <v>22</v>
      </c>
    </row>
    <row r="30" spans="1:17" ht="12.75">
      <c r="A30" s="89" t="s">
        <v>110</v>
      </c>
      <c r="N30"/>
      <c r="O30" s="18"/>
      <c r="P30" s="158">
        <f>P29/Parametres!C25</f>
        <v>0.27284456453528866</v>
      </c>
      <c r="Q30" s="157" t="s">
        <v>36</v>
      </c>
    </row>
    <row r="31" spans="1:15" ht="12.75">
      <c r="A31" s="89" t="s">
        <v>111</v>
      </c>
      <c r="B31" s="92"/>
      <c r="N31" s="159"/>
      <c r="O31" s="18"/>
    </row>
    <row r="32" spans="1:2" ht="12.75">
      <c r="A32" s="89" t="s">
        <v>107</v>
      </c>
      <c r="B32" s="92"/>
    </row>
    <row r="33" ht="12.75">
      <c r="B33" s="92"/>
    </row>
    <row r="34" spans="2:5" ht="12.75">
      <c r="B34" s="92"/>
      <c r="E34"/>
    </row>
    <row r="35" spans="2:5" ht="12.75">
      <c r="B35" s="104"/>
      <c r="E35"/>
    </row>
    <row r="36" spans="2:5" ht="12.75">
      <c r="B36" s="104"/>
      <c r="E36"/>
    </row>
    <row r="37" ht="12.75">
      <c r="E37"/>
    </row>
  </sheetData>
  <mergeCells count="3">
    <mergeCell ref="F3:H3"/>
    <mergeCell ref="L3:M3"/>
    <mergeCell ref="F2:H2"/>
  </mergeCells>
  <printOptions horizontalCentered="1"/>
  <pageMargins left="0.7874015748031497" right="0.5905511811023623" top="0.7874015748031497" bottom="0.7874015748031497" header="0" footer="0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K37" sqref="K37"/>
    </sheetView>
  </sheetViews>
  <sheetFormatPr defaultColWidth="11.421875" defaultRowHeight="12.75"/>
  <cols>
    <col min="2" max="2" width="20.8515625" style="0" customWidth="1"/>
    <col min="3" max="3" width="13.57421875" style="0" customWidth="1"/>
    <col min="4" max="4" width="13.421875" style="0" customWidth="1"/>
    <col min="8" max="8" width="15.57421875" style="0" customWidth="1"/>
  </cols>
  <sheetData>
    <row r="1" spans="1:6" ht="13.5" thickBot="1">
      <c r="A1" s="52" t="s">
        <v>116</v>
      </c>
      <c r="B1" s="53"/>
      <c r="C1" s="53"/>
      <c r="D1" s="53"/>
      <c r="F1" s="52" t="s">
        <v>132</v>
      </c>
    </row>
    <row r="2" spans="1:7" ht="12.75">
      <c r="A2" s="54" t="s">
        <v>117</v>
      </c>
      <c r="B2" s="54"/>
      <c r="C2" s="223">
        <f>0.8*24*365/1000</f>
        <v>7.008000000000001</v>
      </c>
      <c r="D2" s="54" t="s">
        <v>6</v>
      </c>
      <c r="F2" s="54" t="s">
        <v>133</v>
      </c>
      <c r="G2" s="119">
        <v>0.3</v>
      </c>
    </row>
    <row r="3" spans="1:4" ht="12.75">
      <c r="A3" s="54" t="s">
        <v>118</v>
      </c>
      <c r="B3" s="54"/>
      <c r="C3" s="223">
        <f>1*24*365/1000</f>
        <v>8.76</v>
      </c>
      <c r="D3" s="54" t="s">
        <v>6</v>
      </c>
    </row>
    <row r="4" spans="1:4" ht="4.5" customHeight="1">
      <c r="A4" s="54"/>
      <c r="B4" s="54"/>
      <c r="C4" s="224"/>
      <c r="D4" s="54"/>
    </row>
    <row r="5" spans="1:8" ht="12.75">
      <c r="A5" s="54" t="s">
        <v>119</v>
      </c>
      <c r="B5" s="54"/>
      <c r="C5" s="225">
        <v>50</v>
      </c>
      <c r="D5" s="54" t="s">
        <v>6</v>
      </c>
      <c r="G5" s="112">
        <v>0</v>
      </c>
      <c r="H5" s="111">
        <v>0</v>
      </c>
    </row>
    <row r="6" spans="3:8" ht="12.75">
      <c r="C6" s="55">
        <f>C5*10^6/C13/1000</f>
        <v>4299.226139294927</v>
      </c>
      <c r="D6" s="54" t="s">
        <v>3</v>
      </c>
      <c r="G6" s="112">
        <f>G2</f>
        <v>0.3</v>
      </c>
      <c r="H6" s="111">
        <v>0</v>
      </c>
    </row>
    <row r="7" spans="1:8" ht="12.75">
      <c r="A7" s="54" t="s">
        <v>120</v>
      </c>
      <c r="B7" s="54"/>
      <c r="C7" s="224">
        <v>1</v>
      </c>
      <c r="D7" s="54" t="s">
        <v>5</v>
      </c>
      <c r="G7" s="112">
        <v>1</v>
      </c>
      <c r="H7" s="111">
        <v>1</v>
      </c>
    </row>
    <row r="8" spans="1:4" ht="12.75">
      <c r="A8" s="54" t="s">
        <v>121</v>
      </c>
      <c r="B8" s="54"/>
      <c r="C8" s="224">
        <v>4</v>
      </c>
      <c r="D8" s="54" t="s">
        <v>5</v>
      </c>
    </row>
    <row r="9" spans="1:4" ht="12.75">
      <c r="A9" s="54" t="s">
        <v>122</v>
      </c>
      <c r="B9" s="54"/>
      <c r="C9" s="224">
        <v>150</v>
      </c>
      <c r="D9" s="54" t="s">
        <v>5</v>
      </c>
    </row>
    <row r="10" spans="1:4" ht="12.75">
      <c r="A10" s="54" t="s">
        <v>123</v>
      </c>
      <c r="B10" s="54"/>
      <c r="C10" s="224">
        <v>600</v>
      </c>
      <c r="D10" s="54" t="s">
        <v>5</v>
      </c>
    </row>
    <row r="11" spans="1:4" ht="12.75">
      <c r="A11" s="54" t="s">
        <v>76</v>
      </c>
      <c r="B11" s="54"/>
      <c r="C11" s="224">
        <v>4.75</v>
      </c>
      <c r="D11" s="54" t="s">
        <v>7</v>
      </c>
    </row>
    <row r="12" spans="1:6" ht="12.75">
      <c r="A12" s="54"/>
      <c r="B12" s="54"/>
      <c r="C12" s="224"/>
      <c r="D12" s="54"/>
      <c r="F12" s="10"/>
    </row>
    <row r="13" spans="1:6" ht="12.75">
      <c r="A13" s="54" t="s">
        <v>124</v>
      </c>
      <c r="B13" s="10"/>
      <c r="C13" s="54">
        <f>41868/3600</f>
        <v>11.63</v>
      </c>
      <c r="D13" s="54" t="s">
        <v>19</v>
      </c>
      <c r="E13" s="10"/>
      <c r="F13" s="10"/>
    </row>
    <row r="14" spans="1:6" ht="12.75">
      <c r="A14" s="54"/>
      <c r="B14" s="10"/>
      <c r="C14" s="75">
        <f>1/0.260606</f>
        <v>3.837210194700045</v>
      </c>
      <c r="D14" s="54" t="s">
        <v>75</v>
      </c>
      <c r="E14" s="10"/>
      <c r="F14" s="10"/>
    </row>
    <row r="15" spans="1:6" ht="12.75">
      <c r="A15" s="54"/>
      <c r="B15" s="10"/>
      <c r="C15" s="75">
        <f>C13/10</f>
        <v>1.163</v>
      </c>
      <c r="D15" s="54" t="s">
        <v>72</v>
      </c>
      <c r="E15" s="10"/>
      <c r="F15" s="10"/>
    </row>
    <row r="16" spans="1:4" ht="12.75">
      <c r="A16" s="54"/>
      <c r="B16" s="54"/>
      <c r="C16" s="224"/>
      <c r="D16" s="54"/>
    </row>
    <row r="17" spans="1:3" ht="12.75">
      <c r="A17" s="51" t="s">
        <v>125</v>
      </c>
      <c r="B17" s="51"/>
      <c r="C17" s="226">
        <v>0.1</v>
      </c>
    </row>
    <row r="18" spans="1:3" ht="12.75">
      <c r="A18" s="51" t="s">
        <v>126</v>
      </c>
      <c r="B18" s="51"/>
      <c r="C18" s="226">
        <v>0.085</v>
      </c>
    </row>
    <row r="19" spans="1:4" ht="12.75">
      <c r="A19" s="54"/>
      <c r="B19" s="54"/>
      <c r="C19" s="224"/>
      <c r="D19" s="54"/>
    </row>
    <row r="20" spans="1:3" ht="12.75">
      <c r="A20" s="54" t="s">
        <v>127</v>
      </c>
      <c r="B20" s="54"/>
      <c r="C20" s="227">
        <v>0.3</v>
      </c>
    </row>
    <row r="21" ht="12.75">
      <c r="H21" s="113" t="s">
        <v>48</v>
      </c>
    </row>
    <row r="22" spans="1:4" ht="12.75">
      <c r="A22" s="54" t="s">
        <v>128</v>
      </c>
      <c r="D22" s="228">
        <v>0.7034077826222626</v>
      </c>
    </row>
    <row r="24" spans="1:4" ht="13.5" thickBot="1">
      <c r="A24" s="52" t="s">
        <v>21</v>
      </c>
      <c r="B24" s="53"/>
      <c r="C24" s="53"/>
      <c r="D24" s="53"/>
    </row>
    <row r="25" spans="1:4" ht="12.75">
      <c r="A25" s="51" t="s">
        <v>23</v>
      </c>
      <c r="C25" s="229">
        <v>504645</v>
      </c>
      <c r="D25" s="51" t="s">
        <v>22</v>
      </c>
    </row>
    <row r="26" spans="1:11" ht="12.75">
      <c r="A26" s="51" t="s">
        <v>129</v>
      </c>
      <c r="C26" s="229">
        <f>17944249/100</f>
        <v>179442.49</v>
      </c>
      <c r="D26" s="51" t="s">
        <v>22</v>
      </c>
      <c r="I26" s="90"/>
      <c r="J26" s="90"/>
      <c r="K26" s="90"/>
    </row>
    <row r="27" spans="1:4" ht="12.75">
      <c r="A27" s="51" t="s">
        <v>100</v>
      </c>
      <c r="C27" s="229">
        <f>4977091/100</f>
        <v>49770.91</v>
      </c>
      <c r="D27" s="51" t="s">
        <v>22</v>
      </c>
    </row>
    <row r="28" spans="1:4" ht="12.75">
      <c r="A28" s="51" t="s">
        <v>130</v>
      </c>
      <c r="C28" s="85">
        <v>40076</v>
      </c>
      <c r="D28" s="51" t="s">
        <v>24</v>
      </c>
    </row>
    <row r="29" ht="12.75">
      <c r="C29" s="230"/>
    </row>
    <row r="30" spans="1:5" ht="12.75">
      <c r="A30" s="51" t="s">
        <v>131</v>
      </c>
      <c r="C30" s="229">
        <f>9804+2640</f>
        <v>12444</v>
      </c>
      <c r="D30" s="51" t="s">
        <v>31</v>
      </c>
      <c r="E30" s="89" t="s">
        <v>108</v>
      </c>
    </row>
    <row r="33" ht="12.75">
      <c r="A33" s="231" t="str">
        <f>Dépenses!A44</f>
        <v>Les paramètres ajustables sont en rouges. Le reste se calcule automatiquement</v>
      </c>
    </row>
  </sheetData>
  <printOptions horizontalCentered="1"/>
  <pageMargins left="0.7874015748031497" right="0.5905511811023623" top="0.7874015748031497" bottom="0.7874015748031497" header="0" footer="0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Castilla-La Mancha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UCLM</dc:creator>
  <cp:keywords/>
  <dc:description/>
  <cp:lastModifiedBy>AntoineClaude.Bret</cp:lastModifiedBy>
  <cp:lastPrinted>2006-04-17T13:09:49Z</cp:lastPrinted>
  <dcterms:created xsi:type="dcterms:W3CDTF">2006-04-03T21:31:59Z</dcterms:created>
  <dcterms:modified xsi:type="dcterms:W3CDTF">2006-04-18T13:01:34Z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