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60" yWindow="1100" windowWidth="25560" windowHeight="13820" activeTab="0"/>
  </bookViews>
  <sheets>
    <sheet name="EFN-CO2 calculator" sheetId="1" r:id="rId1"/>
    <sheet name="CO2 per kWh" sheetId="2" r:id="rId2"/>
    <sheet name="Conversion factors" sheetId="3" r:id="rId3"/>
    <sheet name="DEFRA-Calculator" sheetId="4" r:id="rId4"/>
  </sheets>
  <definedNames>
    <definedName name="_xlnm.Print_Area" localSheetId="0">'EFN-CO2 calculator'!$A$5:$F$123</definedName>
  </definedNames>
  <calcPr fullCalcOnLoad="1"/>
</workbook>
</file>

<file path=xl/sharedStrings.xml><?xml version="1.0" encoding="utf-8"?>
<sst xmlns="http://schemas.openxmlformats.org/spreadsheetml/2006/main" count="1087" uniqueCount="658">
  <si>
    <t>Note : a (plus) sign (or no sign displayed) means you are making a positive contribution to your country's CO2 reduction targets</t>
  </si>
  <si>
    <t>YOUR CO2 SAVINGS, CO2 TARGETS</t>
  </si>
  <si>
    <t>with this new and powerful carbon accounting system and carbon simulator.</t>
  </si>
  <si>
    <t>CO2 Per kWh of Electricity</t>
  </si>
  <si>
    <t>France</t>
  </si>
  <si>
    <t>Source: EFN, PriceWaterHouse, EDF, www.manicore.com 2001</t>
  </si>
  <si>
    <t>Sweden</t>
  </si>
  <si>
    <t>Canada</t>
  </si>
  <si>
    <t>Austria</t>
  </si>
  <si>
    <t>Belgium</t>
  </si>
  <si>
    <t>European Union</t>
  </si>
  <si>
    <t>Finland</t>
  </si>
  <si>
    <t>Spain</t>
  </si>
  <si>
    <t>Japan</t>
  </si>
  <si>
    <t>Portugal</t>
  </si>
  <si>
    <t>UK</t>
  </si>
  <si>
    <t>Luxembourg</t>
  </si>
  <si>
    <t>Germany</t>
  </si>
  <si>
    <t>USA</t>
  </si>
  <si>
    <t>Netherlands</t>
  </si>
  <si>
    <t>Italy</t>
  </si>
  <si>
    <t>Ireland</t>
  </si>
  <si>
    <t>Greece</t>
  </si>
  <si>
    <t>Denmark</t>
  </si>
  <si>
    <t>Enter a number for only one of the following :</t>
  </si>
  <si>
    <t>Remember that one big sack of coal usually weighs 50 kilograms</t>
  </si>
  <si>
    <t>Note : wood used for heating is not to be taken in consideration as the CO2 it releases is only returning to the atmosphere from where it originally came from</t>
  </si>
  <si>
    <t>Your consumption of heating oil (in litres)</t>
  </si>
  <si>
    <t>For the year : 201_  </t>
  </si>
  <si>
    <t>Kilometers for flight 5 (leave -527 in the grey box if you haven't flown)</t>
  </si>
  <si>
    <t>Kilometers for flight 6 (leave -527 in the grey box if you haven't flown)</t>
  </si>
  <si>
    <t>Kilometers for flight 7 (leave -527 in the grey box if you haven't flown)</t>
  </si>
  <si>
    <t>Kilometers for flight 8 (leave -527 in the grey box if you haven't flown)</t>
  </si>
  <si>
    <t>Better roof insulation (Yes=1, slight improvement=0.5, No=0)</t>
  </si>
  <si>
    <t>Better wall insulation (Yes=1, slight improvement=0.5, No=0)</t>
  </si>
  <si>
    <t>Install double-flux ventilation with heat exchanger (Yes=1, No=0)</t>
  </si>
  <si>
    <t>Saves 7% on home or building heating for each °C</t>
  </si>
  <si>
    <t>Saves about 10% on home or building heating after deducting previous line</t>
  </si>
  <si>
    <t>Enter your mileage (in miles OR kilometers per year) according to your car type :</t>
  </si>
  <si>
    <t>What are the CO2 Emissions in your country (in Mt = millions of tons of CO2)</t>
  </si>
  <si>
    <t>Other reductions not mentioned above (in kgs of CO2)</t>
  </si>
  <si>
    <r>
      <t>Surface of forest needed to absorb the same amount of carbon (in km</t>
    </r>
    <r>
      <rPr>
        <b/>
        <vertAlign val="superscript"/>
        <sz val="15"/>
        <color indexed="9"/>
        <rFont val="Arial"/>
        <family val="0"/>
      </rPr>
      <t>2</t>
    </r>
    <r>
      <rPr>
        <b/>
        <sz val="15"/>
        <color indexed="9"/>
        <rFont val="Arial"/>
        <family val="0"/>
      </rPr>
      <t>)</t>
    </r>
  </si>
  <si>
    <t>Note : a (minus) sign means your are not reducing emissions, but increasing the CO2 emissions ! (this can happen in some cases because of the natural gas' backup emissions)</t>
  </si>
  <si>
    <t>Maximum number of nuclear reactors recommended (sufficient for producing 80% of the electricity production) :</t>
  </si>
  <si>
    <t xml:space="preserve">1000 kgs of CO2 per person / year in the short term 500 kgs of CO2 per person / year in the long term </t>
  </si>
  <si>
    <t>(in the longer term the key factor is the amount of carbon that can be sequestrated in the bottom of the oceans, the figure is then smaller at 1.7 GtC=6Gt CO2 (IPCC 2001, or Socolow &amp; Pascala), i.e. 1000 kgs of CO2 maximum per person and per year (only 500 kgs = half is for individual use and the other half for collective/community use).</t>
  </si>
  <si>
    <t>1000 or 500</t>
  </si>
  <si>
    <t>(1000 kgs in the short term/500 kgs in the longer term : individual emissions of CO2 per inhabitant/year that the planet - ocean and vegetation - can digest without harming the climate)</t>
  </si>
  <si>
    <t>With many thanks for their corrections, additions, comments or suggestions to : Stephen Stretten, Berol Robinson, Michel Lung.</t>
  </si>
  <si>
    <t>Nuclear power is always much more effective in reducing emissions, because it is reliable (available on demand), can provide all the power needed to phase out fossile fuel (not just a small fraction of it) and requires no fossile backup or very little of it only for peak demand, compared to wind.</t>
  </si>
  <si>
    <t>WHAT IF BOTH YOU AND YOUR POLITICIANS ADOPTED ALL THESE CHANGES ?</t>
  </si>
  <si>
    <t>Compare this result with what the planet can stand :</t>
  </si>
  <si>
    <t>If necessary, improve your savings by choosing the right options in the "savings" section above, and change the scenarios you might propose to your politicians for electricity production, until you reach an acceptable level of CO2 emissions.</t>
  </si>
  <si>
    <t>YOUR CARBON FOOTPRINT per capita could be as low as:</t>
  </si>
  <si>
    <t>YOUR CARBON FOOTPRINT would be reduced in percentage by:</t>
  </si>
  <si>
    <t>kgs of CO2 per person / year</t>
  </si>
  <si>
    <t>Average result for other countries, see http://www.ecolo.org/documents/documents_in_english/IEA-Stats-all-03.html</t>
  </si>
  <si>
    <t>(divide the tCO2/capita indicated on this web site by a factor of about 2 to obtain your personal share of the global emissions)</t>
  </si>
  <si>
    <t>Install solar panels to produce hot water, instead of fossile fuels (Yes=1, No=0)</t>
  </si>
  <si>
    <t>Produce clean electricity with photovoltaic panels (number of square meters)</t>
  </si>
  <si>
    <r>
      <t>ELECTRIC HEATING :</t>
    </r>
    <r>
      <rPr>
        <sz val="10"/>
        <color indexed="10"/>
        <rFont val="Arial"/>
        <family val="2"/>
      </rPr>
      <t xml:space="preserve"> leave all boxes above empty, as electric heating is included in your ELECTRICITY CONSUMPTION below</t>
    </r>
  </si>
  <si>
    <t>Enter your fuel consumption in either litres OR gallons (consumption per year)</t>
  </si>
  <si>
    <t>Consumption of petrol (in litres)</t>
  </si>
  <si>
    <t>Consumption of diesel (in litres)</t>
  </si>
  <si>
    <t>(Enter 1 if the consumptions you have entered above relate to you alone, 2+the number of children for a couple or family, number of persons in a company, school, university...)</t>
  </si>
  <si>
    <t>(CARBON FOOTPRINT)</t>
  </si>
  <si>
    <t>and how to reduce your emissions</t>
  </si>
  <si>
    <t>Saves much of your emissions related to electricity after deducting electricity savings from line above</t>
  </si>
  <si>
    <t>Kilometers for flight 3 (leave -527 in the grey box if you haven't flown)</t>
  </si>
  <si>
    <t>Kilometers for flight 4 (leave -527 in the grey box if you haven't flown)</t>
  </si>
  <si>
    <t>Note: this result does not include collective emissions from infrastructures, government and other offices working for you, which are not counted in the figures entered above: emissions from industries, subcontractors and their suppliers working for you, construction of buildings, growing and packageing of food…); in many cases, for private persons or households, this footprint per person is to multiplied by a factor of about 2 (or add your share of the collective emissions) to obtain your total emissions as a citizen (including your share of indirect emissions from collective sources).</t>
  </si>
  <si>
    <t>Number of persons in your family, group or company</t>
  </si>
  <si>
    <t>(mention the cell number to be corrected and the new content proposed for each cell)</t>
  </si>
  <si>
    <t>Number of large trees needed to absorb the same amount of carbon (in millions of trees) :</t>
  </si>
  <si>
    <r>
      <t>Surface of forest needed to absorb the same amount of carbon (in km</t>
    </r>
    <r>
      <rPr>
        <b/>
        <vertAlign val="superscript"/>
        <sz val="15"/>
        <color indexed="9"/>
        <rFont val="Arial"/>
        <family val="0"/>
      </rPr>
      <t>2</t>
    </r>
    <r>
      <rPr>
        <b/>
        <sz val="15"/>
        <color indexed="9"/>
        <rFont val="Arial"/>
        <family val="0"/>
      </rPr>
      <t>) :</t>
    </r>
  </si>
  <si>
    <t>Source of conversion factor: 0.353 hundreds of cubic feet in a cubic meter (from line above)</t>
  </si>
  <si>
    <t>(hors abonnement, à 0,402€/m3)</t>
  </si>
  <si>
    <t>Your gas bill in France in €</t>
  </si>
  <si>
    <t>Kilograms of very low quality coal (lignite)</t>
  </si>
  <si>
    <t>Your consumption of natural gas (in kWh - kilowatt hours)</t>
  </si>
  <si>
    <t>Your gas bill in the UK in £ (approx)</t>
  </si>
  <si>
    <t>Wind energy cannot produce more than 20% of the energy in a country (to ensure quality of supply/ stability of the electric grid).</t>
  </si>
  <si>
    <t>Nuclear energy will normally not produce more than 80% of the total electricity production of a country (although it could go up to 100%, peak demand is usually ensured with other production methods).</t>
  </si>
  <si>
    <t>How many new 2 MW wind turbines do you want your politicians to build ?</t>
  </si>
  <si>
    <t>So let's take a look now at what happens if your country builds more wind mills, and/or more nuclear reactors in replacement of existing production capacity.</t>
  </si>
  <si>
    <t>Saves about 10% on home or building heating after deducting previous lines</t>
  </si>
  <si>
    <t>Saves about 30% on home or building heating after deducting previous lines</t>
  </si>
  <si>
    <t>First of all, check your meters and take note of your electricity and gas counters, and car mileage, on January 1st and December 31st</t>
  </si>
  <si>
    <t>Enter the statistical data concerning your country in these three grey boxes</t>
  </si>
  <si>
    <t>CALCULATE YOUR CO2 EMISSIONS,</t>
  </si>
  <si>
    <t>Maximum number of windmills authorized to be built (technical limit for grid stability : about 20% of total installed capacity) :</t>
  </si>
  <si>
    <t>1600 MW nuclear reactors, each occupying about the size of a football field see http://www.ecolo.org/photos/npp/EPR-in-blue.JPG</t>
  </si>
  <si>
    <t>WINDMILLS OF 2MW IS A TECHNICAL MAXIMUM  IN YOUR COUNTRY</t>
  </si>
  <si>
    <t>YOUR CARBON FOOTPRINT IS : (total emissions for yourself, your company, your group, your shool, your community...)</t>
  </si>
  <si>
    <t>ENERGY TO BE PRODUCED BY THESE WINDMILLS :</t>
  </si>
  <si>
    <t>ENERGY TO BE PRODUCED BY THESE REACTORS :</t>
  </si>
  <si>
    <t>Impact of these windmills on your country's CO2 reduction targets :</t>
  </si>
  <si>
    <t>Impact of these reactors on your country's CO2 reduction targets :</t>
  </si>
  <si>
    <t>Fool around with the numbers above. You will see that windmills have a rather small impact on reducing CO2 emissions (and sometimes even increase the CO2 emissions because of the 80% fossile backup that is needed.</t>
  </si>
  <si>
    <t>Reduce your plane flights by local holidays, teleconferencing… (in % of flights)</t>
  </si>
  <si>
    <t>EMISSIONS FROM CAR &amp; VEHICLE DRIVING</t>
  </si>
  <si>
    <t>See http://www.ecolo.org/documents/documents_in_english/CO2-per-kWh.gif</t>
  </si>
  <si>
    <t>CO2 emissions in your country for electricity production (in grams of CO2/kWh)</t>
  </si>
  <si>
    <t>(12 billion tons of CO2 are absorbed by the ecosystems every year, to be shared by 6 billion inhabitants = 2 tons per inhabitant, about half of which is for collective use and the other half for individual use such as calculated here)</t>
  </si>
  <si>
    <t>your country would reduce its emissions by :</t>
  </si>
  <si>
    <t>What is the population in your country (in million inhabitants) :</t>
  </si>
  <si>
    <t>Try different scenarios to see how much you could gain by changeing some of the parameters</t>
  </si>
  <si>
    <t>The clean electricity produced is about 150 kWh/m2 per year (might vary with local climate). Also varies with how electricity is produced in your country)</t>
  </si>
  <si>
    <t>TOTAL CO2 SAVINGS TARGET IS :</t>
  </si>
  <si>
    <t xml:space="preserve">WITH THESE SAVINGS YOUR EMISSIONS TARGET FOR NEXT YEAR IS : </t>
  </si>
  <si>
    <t>ADDITIONAL POSSIBLE SAVINGS FOR YOU IF YOUR POLITICIANS TAKE THE RIGHT DECISIONS :</t>
  </si>
  <si>
    <t>The collective choices made by politicians in your country, by choosing the energy source for electricity production, directly impacts your own emissions.</t>
  </si>
  <si>
    <t>When choosing to install new electric production capacity, politicians have only two main options : windmills and nuclear power (we assume they are wise enough not to choose coal plants so long as carbon sequestration is not economically feasible)</t>
  </si>
  <si>
    <t>THANKS FOR TAKING CARE OF OUR PLANET, make sure you reduce your footprint year after year !</t>
  </si>
  <si>
    <t>Your consumption of natural gas (in cubic meters)</t>
  </si>
  <si>
    <t>Your consumption of natural gas (in 100's of cubic feet)</t>
  </si>
  <si>
    <t>Wind mills have an average efficiency of about 20% (German experience) and they are intermittent, therefore a reliable backup (usually natural gas turbines) is necessary to produce the remaining 80%.</t>
  </si>
  <si>
    <t>This year's emissions minus savings for next year</t>
  </si>
  <si>
    <t>A large tree absorbs about 1.5 ton of CO2 while growing, over 50 years, this is 0.03 ton/year</t>
  </si>
  <si>
    <t>EMISSIONS FROM HOUSE OR BUILDING HEATING</t>
  </si>
  <si>
    <t>How many new nuclear reactors do you want your politicians to build ?</t>
  </si>
  <si>
    <t>turbines, each twice as high as the cathedral of Paris, see http://www.ecolo.org/photos/eole/cathedral-wind-Paris-en.jpg</t>
  </si>
  <si>
    <t>LAND SURFACE NEEDED FOR THESE WINDMILLS :</t>
  </si>
  <si>
    <t>LAND SURFACE NEEDED FOR THESE REACTORS :</t>
  </si>
  <si>
    <t>EMISSIONS FROM PUBLIC TRANSPORTATION (bus, diesel train, etc)</t>
  </si>
  <si>
    <t>The CO2 savings depends on how your country produces its electricity, this applies after deducting previous lines</t>
  </si>
  <si>
    <t>Reduce your electricity consumption (reduction in % of electric consumption)</t>
  </si>
  <si>
    <t>Reduce home or building temperature if heated by fossile fuels (reduction in °C)</t>
  </si>
  <si>
    <t>230kg/day</t>
  </si>
  <si>
    <t>OR</t>
  </si>
  <si>
    <t>Turn off lights, replace lights bulbs by low-consumption light bulbs, better regulation, minimize use of some appliances, turn off computers when unused… reduction in proportion of total electricity emissions above</t>
  </si>
  <si>
    <t>This can give strong results to massively reduce emissions, just forget about useless displacements and driving your car to far away holidays.</t>
  </si>
  <si>
    <t>The CO2 savings depends on how your country produces its electricity</t>
  </si>
  <si>
    <t>Same as above but applies to 100% of mileage, savings from 3 previous lines are deducted ; the CO2 savings depends on how your country produces its electricity</t>
  </si>
  <si>
    <t>NUCLEAR REACTORS IS A TECHNICAL MAXIMUM  IN YOUR COUNTRY</t>
  </si>
  <si>
    <t>Please vote for the politicians who take the right decisions ! And make sure they keep up to what they promise !</t>
  </si>
  <si>
    <t>% of your emissions</t>
  </si>
  <si>
    <t>See http://www.ecolo.org/documents/documents_in_english/IEA-Stats-all-03.html</t>
  </si>
  <si>
    <t>Switch some car mileage to public transport (bus or diesel train in % of mileage)</t>
  </si>
  <si>
    <t>Average result for a US or Australian citizen today (personal share)</t>
  </si>
  <si>
    <t>Average result for a French citizen today (personal share)</t>
  </si>
  <si>
    <t>Average result for a Chinese citizen today (personal share)</t>
  </si>
  <si>
    <t>How you can reduce your emissions: POSSIBLE SAVINGS AND TARGET FOR NEXT YEAR</t>
  </si>
  <si>
    <t>(average amount per inhabitant that the planet - ocean and vegetation - can digest without harming the climate)</t>
  </si>
  <si>
    <t>EFN (www.ecolo.org) proposes this simple tool to help you calculate your carbon footprint (CO2 emissions)</t>
  </si>
  <si>
    <t>YOUR CARBON FOOTPRINT PER PERSON IS:</t>
  </si>
  <si>
    <t>FOR INDIVIDUAL PERSONS, GROUPS OR FAMILIES, compare this result with :</t>
  </si>
  <si>
    <t>(this applies to individuals, families or groups of citizens only, not to companies)</t>
  </si>
  <si>
    <t>Kilometers per year in metro, subway, tram or electric train</t>
  </si>
  <si>
    <t xml:space="preserve">Kilograms of bituminous </t>
  </si>
  <si>
    <t>What is the electricity consumption in your country (in TWh) :</t>
  </si>
  <si>
    <t>Replace your single-pane windows by double-pane/argon gas (Yes=1, No=0)</t>
  </si>
  <si>
    <t>Then enter your personal data in the grey boxes below, as indicated ; boxes other than grey should not be modified (conversion factors and calculations)</t>
  </si>
  <si>
    <t>Enter the number of kWh consumed on the line(s) matching your situation</t>
  </si>
  <si>
    <t>Conventional electricity consumption for the year (in kWh)</t>
  </si>
  <si>
    <t>Average result for a UK citizen today (personal share)</t>
  </si>
  <si>
    <t>Average result for a German citizen today (personal share)</t>
  </si>
  <si>
    <t>Average result for a Albanian citizen today (personal share)</t>
  </si>
  <si>
    <t>Switch some car mileage to metro, subway, electric train (in % of car mileage)</t>
  </si>
  <si>
    <t>IMPORTANCE OF PERSONAL ACTIONS :</t>
  </si>
  <si>
    <t>Now, let's see what you can do to reduce your fossile energy consumption and CO2 emissions in the future.</t>
  </si>
  <si>
    <t>The green boxes indicate how much reductions you can expect for each of the proposed actions.</t>
  </si>
  <si>
    <t>Adapt the figures in the grey boxes as you wish to test the possible savings</t>
  </si>
  <si>
    <t>and use this carbon accounting tool again next year to check the results !</t>
  </si>
  <si>
    <t>will reduce your CO2 by :</t>
  </si>
  <si>
    <t>Reduce your car mileage by  (in % of mileage)</t>
  </si>
  <si>
    <t>Replace your fossile fuel furnace by a geothermal heat pump (Yes=1, No=0)</t>
  </si>
  <si>
    <t>CO2 saved = emissions of former production replaced[5 x Number of TWh produced x grCO2/kWh in your country x 10(9)kWh/TWh x 10(-12)gr/million tons] - emissions of new gas backup necessary[4 x Number of TWh produced x 700grCO2/kWh x 10(9)kWh/TWh x 10(-12)gr/million tons] =(5*C173*B12/1000) - (4*C173*0,7)</t>
  </si>
  <si>
    <t>KM2</t>
  </si>
  <si>
    <t>TWh per year</t>
  </si>
  <si>
    <t xml:space="preserve"> million tons of CO2</t>
  </si>
  <si>
    <t>CO2 savings in percentage of your emissions :</t>
  </si>
  <si>
    <t>If everybody in your country acheived such savings</t>
  </si>
  <si>
    <t>Number of large trees needed to absorb the same amount of carbon :</t>
  </si>
  <si>
    <t xml:space="preserve"> (calculated from the 2 lines above)</t>
  </si>
  <si>
    <t>© Bruno Comby - This tool can be freely used, duplicated and circulated, for non-commercial and non-harmful uses only.</t>
  </si>
  <si>
    <t>Kilometers per year (bus, diesel train, fossile fuel driven public transportation)</t>
  </si>
  <si>
    <r>
      <t>OTHER CO2 EMISSIONS</t>
    </r>
    <r>
      <rPr>
        <sz val="12"/>
        <color indexed="11"/>
        <rFont val="Arial"/>
        <family val="0"/>
      </rPr>
      <t xml:space="preserve"> (various, not included above)</t>
    </r>
  </si>
  <si>
    <t>Automatically takes in consideration the GHG other than CO2 if demanded above.</t>
  </si>
  <si>
    <t>Medium petrol car 1.4 to 2.1 litre engine</t>
  </si>
  <si>
    <t xml:space="preserve">Small diesel car up to 2.0 litre engine </t>
  </si>
  <si>
    <t xml:space="preserve">LPG car </t>
  </si>
  <si>
    <t xml:space="preserve">Small petrol car up to 1.4 litre engine </t>
  </si>
  <si>
    <t xml:space="preserve">Large petrol car over 2.1 litre </t>
  </si>
  <si>
    <t>Large diesel car over 2.0 litre engine</t>
  </si>
  <si>
    <t>Miles in the UK</t>
  </si>
  <si>
    <t>EMISSIONS FROM ELECTRICITY CONSUMPTION</t>
  </si>
  <si>
    <t>EMISSIONS FROM PLANE FLIGHTS</t>
  </si>
  <si>
    <t>kgs of CO2</t>
  </si>
  <si>
    <t>COAL HEATING</t>
  </si>
  <si>
    <t>it can be used to calculate the footprint of a family, company, group or individual person</t>
  </si>
  <si>
    <t>Now let's suppose that politicians would obey your orders and let's see the impact of building more wind turbines or more nuclear reactors on your countries emissions and on your own emissions :</t>
  </si>
  <si>
    <t>Nuclear reactors have an average efficiency factor of about 85%, they are available on demand (no gas backup is necessary).</t>
  </si>
  <si>
    <t>CO2 saved = emissions of former production replaced[Number of TWh produced x grCO2/kWh in your country x 10(9)kWh/TWh x 10(-12)gr/million tons] (no gas backup necessary) =(C173*B12/1000)</t>
  </si>
  <si>
    <t>Your savings x number of million inhabitants in your country / (1000 kgs/ton)</t>
  </si>
  <si>
    <t>Personal footprint - your possible savings - additional savings thanks to your politicians</t>
  </si>
  <si>
    <t>For example if you use fossile-fuel driven machines, or if you practise ski-doo in winter or water skiing in summer, or whatever CO2 emissions have not been included above (note that CO2 emissions in kg = 3.66 times the carbon consumption in kg and that carbon represents 75% of the weight of the fuel for natural gas, about 80% for gasoline, and 86% for diesel or heavy oil)</t>
  </si>
  <si>
    <t>Move to France/Sweden or produce your own green electricity (Yes=1, No=0)</t>
  </si>
  <si>
    <t>Home-produced green (not fossile) electricity consumption for the year (in kWh)</t>
  </si>
  <si>
    <t>Source of conversion factor: given for wind energy with full life-cycle analysis on http://en.wikipedia.org/wiki/Wind_power or http://72.36.212.11/prod/180-1.pdf</t>
  </si>
  <si>
    <t xml:space="preserve">Kilometers </t>
  </si>
  <si>
    <t xml:space="preserve">Miles </t>
  </si>
  <si>
    <t>FERRY/BOAT</t>
  </si>
  <si>
    <t xml:space="preserve">1 kilometer by ferry </t>
  </si>
  <si>
    <t>GAS HEATING</t>
  </si>
  <si>
    <t>WOOD</t>
  </si>
  <si>
    <t>Make sure your home-produced green electricity (wind, solar or small hydro) or your green electricity provider does not burn any gas (even with cogeneration); if it does (or he does), replace the conversion factor by the adequate much higher value</t>
  </si>
  <si>
    <t>(Your CO2 emissions from electricity in kgs CO2 / your total CO2 emissions)*(reduction from wind+nuclear in Mt CO2 capped with total CO2 from electricity in Mt CO2 / total CO2 from electricity in Mt CO2)</t>
  </si>
  <si>
    <t>Assuming a forest is composed of one large tree such as above every 10 meters (10 000 large trees per square kilometer)</t>
  </si>
  <si>
    <t>0.1 km2 per windmill + need for backup gas plant (negligible surface for backup, about 100 times less : 2MW = 1/500th of a 1000 MW gas plant occupying 0.2 km2= 0,0004km2 for backup gas plant per windmill)</t>
  </si>
  <si>
    <t>Kilograms of coal for house heating (average quality)</t>
  </si>
  <si>
    <t>Kilograms of anthracite (high quality coal coal)</t>
  </si>
  <si>
    <t>Kilograms of average quality coal used in the industry</t>
  </si>
  <si>
    <t>(If trains are in part diesel, in part electric in your country, apply a proportion)</t>
  </si>
  <si>
    <t>Your consumption of heating oil (in UK gallons)</t>
  </si>
  <si>
    <t>Source of conversion factor: Carbon trust</t>
  </si>
  <si>
    <t>Source of conversion factor: Defra data</t>
  </si>
  <si>
    <t>Source of conversion factor: from statistical data for your country entered at the top of this page</t>
  </si>
  <si>
    <t>Kilometers for flight 1 (leave -527 in the grey box if you haven't flown)</t>
  </si>
  <si>
    <t>Kilometers for flight 2 (leave -527 in the grey box if you haven't flown)</t>
  </si>
  <si>
    <t>Your consumption of heating oil (in US liquid gallons)</t>
  </si>
  <si>
    <t>Other unit conversions : http://www.hoptechno.com/nightcrew/sante7000/convert.cfm</t>
  </si>
  <si>
    <t xml:space="preserve">CO2 savings on your emissions, thanks to your politicians : </t>
  </si>
  <si>
    <t>%</t>
  </si>
  <si>
    <t>Passengers = 370 * [occupancy] - In this case we have opted for 75% occupancy as an average value.</t>
  </si>
  <si>
    <t>Consumption of petrol (in US liquid gallons)</t>
  </si>
  <si>
    <t>Consumption of petrol (in UK gallons)</t>
  </si>
  <si>
    <t>Consumption of diesel (in US liquid gallons)</t>
  </si>
  <si>
    <t>Consumption of diesel (in UK gallons)</t>
  </si>
  <si>
    <t>1 US liq gal = 3.79 litre</t>
  </si>
  <si>
    <t>1 UK gal = 4.55 litre</t>
  </si>
  <si>
    <t>Enter the flight distance for each flight (2 lines for a round trip, one each way) - Flight distances can be calculated from latitude and longitude of departure and arrival cities on this web site : http://www.chooseclimate.org/flying/mapcalc.html Latitude and longitude of cities and airports anywhere in the world can be found on this web site : latitude and longitude of departure and arrival cities on this web site : http://www.infoplease.com/ipa/A0001769.html or http://www.infoplease.com/atlas/latitude-longitude.html</t>
  </si>
  <si>
    <t>(rough value per passenger: 0.5 kg of CO2/km or 0.82 kg of CO2/mile)</t>
  </si>
  <si>
    <t>(kg of CO2 = CO2 = kg of fuel * (44/12 * 156/184) [molecular masses])</t>
  </si>
  <si>
    <t>For more information about EFN and our other programs, visit : www.ecolo.org</t>
  </si>
  <si>
    <t>1 km2 per reactor + no need for backup gas plant because</t>
  </si>
  <si>
    <t>Number of large trees needed to absorb as much carbon as the savings above :</t>
  </si>
  <si>
    <t>Source of data for many of the conversion factors above is from :</t>
  </si>
  <si>
    <t>per windmill 0,0035 TWh = 20% x 2 MW x 8760 hours/year/ (1 million M in one G)</t>
  </si>
  <si>
    <t>per reactor 11,9 TWh = 85% x 1600 MW x 8760 hours/year/ (1 million M in one G)</t>
  </si>
  <si>
    <t>million tons CO2</t>
  </si>
  <si>
    <t>A large tree absorbs 500 kgs of carbon, i.e. about 1.5 ton of CO2 while growing, over 50 years (average 0.03 ton/year)</t>
  </si>
  <si>
    <t>Saves 70% of your average driving emissions corresponding to that mileage</t>
  </si>
  <si>
    <t>or Replace your diesel or gasoline car(s) by electric car(s) (Yes=1, No=0)</t>
  </si>
  <si>
    <t>This is usually a huge winner especially for long distance flights</t>
  </si>
  <si>
    <t>OR go to www.chooseclimate.org or to another calculator to calculate emissions and enter the total result (CO2 emissions in kgs for all flights) in the grey box on this line.</t>
  </si>
  <si>
    <t>Subbituminous</t>
  </si>
  <si>
    <t>SB</t>
  </si>
  <si>
    <t>Lignite</t>
  </si>
  <si>
    <t>LC</t>
  </si>
  <si>
    <t>Coke</t>
  </si>
  <si>
    <t>—</t>
  </si>
  <si>
    <t>Liquid fuels</t>
  </si>
  <si>
    <t>kWh / tonne</t>
  </si>
  <si>
    <t>litres / tonne</t>
  </si>
  <si>
    <t>kWh/litre</t>
  </si>
  <si>
    <t xml:space="preserve">kg C/kWh </t>
  </si>
  <si>
    <t>kg C02 / kWh</t>
  </si>
  <si>
    <t>kg C02 / litre</t>
  </si>
  <si>
    <t>kg C02 / UK gallon</t>
  </si>
  <si>
    <t xml:space="preserve">Petroleum Products </t>
  </si>
  <si>
    <t>kwh / litre</t>
  </si>
  <si>
    <t>kg CO2 / kWh</t>
  </si>
  <si>
    <t>kg CO2 / litre</t>
  </si>
  <si>
    <t>Ethane</t>
  </si>
  <si>
    <t>Propane</t>
  </si>
  <si>
    <t>PR</t>
  </si>
  <si>
    <t>Liquefied petroleum gas / LPG</t>
  </si>
  <si>
    <t>Residual Fuel (No. 5 and No. 6 Fuel Oil)</t>
  </si>
  <si>
    <t>RF</t>
  </si>
  <si>
    <t xml:space="preserve">Petroleum coke </t>
  </si>
  <si>
    <t>Petroleum Coke</t>
  </si>
  <si>
    <t>PC</t>
  </si>
  <si>
    <t>Crude oil (weighted average)</t>
  </si>
  <si>
    <t>Petroleum products (weighted average)</t>
  </si>
  <si>
    <t>Gaseous fuels</t>
  </si>
  <si>
    <t>http://www.defra.gov.uk/Environment/business/envrp/gas/envrpgas-annexes.pdf</t>
  </si>
  <si>
    <t>DEFRA Guidelines for Company Reporting on Greenhouse Gas Emissions - Annexes updated July 2005</t>
  </si>
  <si>
    <t>YOUR CARBON FOOTPRINT (for your group) could be as low as:</t>
  </si>
  <si>
    <t>Do you want to include the GHG emissions of airplanes other than CO2 ? (O3, NOx, water vapor and contrails, in kg of CO2 equivalent).  Yes=1  -  No=0</t>
  </si>
  <si>
    <t>Calculations from Chooseclimate.com :</t>
  </si>
  <si>
    <t>Fuel per passenger (Data for B-747)</t>
  </si>
  <si>
    <t>Fuel in kg = [7840 + 10.1 * (distance in km-250)] (*2 if return)</t>
  </si>
  <si>
    <t>(7840 kg take off-climb-descent, 10.1 kg/km cruising)</t>
  </si>
  <si>
    <t>Total warming effect of CO2, Ozone (made by NOx), water vapour and contrails</t>
  </si>
  <si>
    <t xml:space="preserve"> is about 2.7 times greater than effect of CO2 alone.</t>
  </si>
  <si>
    <t>GHG other than CO2 emitted by airplanes multiply the global warming effect of CO2 by 2.7 (x 1.7 added)</t>
  </si>
  <si>
    <t>Blast furnace gas</t>
  </si>
  <si>
    <t>Solid renewables</t>
  </si>
  <si>
    <t>kWh/tonne</t>
  </si>
  <si>
    <t>kg CO2 / tonne</t>
  </si>
  <si>
    <t>kg CO2 / kg</t>
  </si>
  <si>
    <t xml:space="preserve">Renewable Sources </t>
  </si>
  <si>
    <t>kwh / tonne</t>
  </si>
  <si>
    <t>Domestic wood (2)</t>
  </si>
  <si>
    <t>Wood and Wood Waste</t>
  </si>
  <si>
    <t>WW</t>
  </si>
  <si>
    <t>Industrial wood (3)</t>
  </si>
  <si>
    <t>Tyres</t>
  </si>
  <si>
    <t>Tires/Tire-Derived Fuel</t>
  </si>
  <si>
    <t>TF</t>
  </si>
  <si>
    <t>Municipal solid waste</t>
  </si>
  <si>
    <t>Municipal Solid Waste</t>
  </si>
  <si>
    <t>MS</t>
  </si>
  <si>
    <t>Refuse-derived waste</t>
  </si>
  <si>
    <t>Straw</t>
  </si>
  <si>
    <t>Poultry litter</t>
  </si>
  <si>
    <t>General industrial waste</t>
  </si>
  <si>
    <t>Hospital waste</t>
  </si>
  <si>
    <t>To -&gt;</t>
  </si>
  <si>
    <t>therms</t>
  </si>
  <si>
    <t>kWh</t>
  </si>
  <si>
    <t>Btu</t>
  </si>
  <si>
    <t>MJ</t>
  </si>
  <si>
    <t>toe</t>
  </si>
  <si>
    <t>kcal</t>
  </si>
  <si>
    <t>1lb=</t>
  </si>
  <si>
    <t>kg</t>
  </si>
  <si>
    <t>From</t>
  </si>
  <si>
    <t>1 short ton =</t>
  </si>
  <si>
    <t>tonnes</t>
  </si>
  <si>
    <t>1lb/short ton</t>
  </si>
  <si>
    <t>kg/tonne</t>
  </si>
  <si>
    <t>1 Million BTU=</t>
  </si>
  <si>
    <t>1 lb/Million BTU=</t>
  </si>
  <si>
    <t>kg/kWh</t>
  </si>
  <si>
    <t xml:space="preserve">1 US gallon = </t>
  </si>
  <si>
    <t>litres</t>
  </si>
  <si>
    <t xml:space="preserve">Fuel </t>
  </si>
  <si>
    <t>Net Energy</t>
  </si>
  <si>
    <t>Gross Energy</t>
  </si>
  <si>
    <t>Carbon Emissions</t>
  </si>
  <si>
    <t>(Approx.)</t>
  </si>
  <si>
    <t>By Weight</t>
  </si>
  <si>
    <t>By Volume</t>
  </si>
  <si>
    <t>UK Grid electricity</t>
  </si>
  <si>
    <t>kg C02 / kWh (e)</t>
  </si>
  <si>
    <t>As Delivered</t>
  </si>
  <si>
    <t>UK Electricity Fuel Input</t>
  </si>
  <si>
    <t>kg C02 / kWh (th)</t>
  </si>
  <si>
    <t>Primary</t>
  </si>
  <si>
    <t>Solid fuels</t>
  </si>
  <si>
    <t>kg C02 / tonne</t>
  </si>
  <si>
    <t>kg C02 / kg fuel</t>
  </si>
  <si>
    <t>Coal</t>
  </si>
  <si>
    <t>CL</t>
  </si>
  <si>
    <t>Pounds CO2 per short ton</t>
  </si>
  <si>
    <t>Pounds CO2 per Million Btu</t>
  </si>
  <si>
    <t>Coal (weighted average)</t>
  </si>
  <si>
    <t>Anthracite</t>
  </si>
  <si>
    <t>AC</t>
  </si>
  <si>
    <t>Bituminous</t>
  </si>
  <si>
    <t>BC</t>
  </si>
  <si>
    <t>Pounds CO2 per US gallon</t>
  </si>
  <si>
    <t>Pounds CO2 per 1000 ft3</t>
  </si>
  <si>
    <t>Source: UK Department for Environment, Food and Rural Affairs (Defra)</t>
  </si>
  <si>
    <t>SUMMARY</t>
  </si>
  <si>
    <t>TOTAL EMISSIONS</t>
  </si>
  <si>
    <t>kg CO2 per unit</t>
  </si>
  <si>
    <t>Total kg CO2</t>
  </si>
  <si>
    <r>
      <t xml:space="preserve">Grid Electricity </t>
    </r>
    <r>
      <rPr>
        <vertAlign val="subscript"/>
        <sz val="10"/>
        <rFont val="Arial"/>
        <family val="2"/>
      </rPr>
      <t>1</t>
    </r>
  </si>
  <si>
    <t>Natural Gas</t>
  </si>
  <si>
    <t>1The factor for electricity has been changed slightly from the previous guidelines to come</t>
  </si>
  <si>
    <t>into line with calculations for the Climate Change Levy Agreements and future</t>
  </si>
  <si>
    <t>Gas Oil</t>
  </si>
  <si>
    <t>requirements for Emissions Trading. It was calculated on the projected fuel mix for the grid</t>
  </si>
  <si>
    <t>1998-2000. Actual figures may differ from the projections, but to help with year on year</t>
  </si>
  <si>
    <t>comparisons we plan to use a constant value for the purposes of these Guidelines until the</t>
  </si>
  <si>
    <t>Diesel</t>
  </si>
  <si>
    <t>year 2010.</t>
  </si>
  <si>
    <t>2 Average emission factor for coal used in sources other than power stations and</t>
  </si>
  <si>
    <t>domestic, i.e. industry sources including collieries, Iron &amp; Steel, Autogeneration, Cement</t>
  </si>
  <si>
    <t>UK gallons</t>
  </si>
  <si>
    <t>Petrol</t>
  </si>
  <si>
    <t>production, Lime production, Other industry, Miscellaneous, Public Sector, Stationary</t>
  </si>
  <si>
    <t>combustion - railways and Agriculture. Users who wish to use coal factors for types of</t>
  </si>
  <si>
    <t>coal used in specific industry applications should use the factors given in the UKETS.</t>
  </si>
  <si>
    <t>Fuel Oil</t>
  </si>
  <si>
    <t>Liquified Petroleum Gases (LPG)</t>
  </si>
  <si>
    <t>LG</t>
  </si>
  <si>
    <t>Aviation Gasoline</t>
  </si>
  <si>
    <t>AV</t>
  </si>
  <si>
    <t>Motor spirit / Petrol</t>
  </si>
  <si>
    <t>Motor Gasoline</t>
  </si>
  <si>
    <t>MG</t>
  </si>
  <si>
    <t>Aviation turbine fuel / Jet Kerosene</t>
  </si>
  <si>
    <t>Jet Fuel</t>
  </si>
  <si>
    <t>JF</t>
  </si>
  <si>
    <t>Gas/diesel oil</t>
  </si>
  <si>
    <t>Kerosene</t>
  </si>
  <si>
    <t>KS</t>
  </si>
  <si>
    <t>Power station oil / Naptha</t>
  </si>
  <si>
    <t>Distillate Fuel (No. 1, No. 2, No. 4 Fuel Oil and Diesel)</t>
  </si>
  <si>
    <t>DF</t>
  </si>
  <si>
    <t>Fuel oil / Heavy Fuel Oil</t>
  </si>
  <si>
    <t>electricity consumer.</t>
  </si>
  <si>
    <t>LPG</t>
  </si>
  <si>
    <t>Coking Coal</t>
  </si>
  <si>
    <t>Aviation Spirit</t>
  </si>
  <si>
    <t>Aviation Turbine Fuel</t>
  </si>
  <si>
    <t>Other Petroleum Gas</t>
  </si>
  <si>
    <t>Naphtha</t>
  </si>
  <si>
    <t>Lubricants</t>
  </si>
  <si>
    <t>Refinery Miscellaneous</t>
  </si>
  <si>
    <r>
      <t>Renewables</t>
    </r>
    <r>
      <rPr>
        <vertAlign val="subscript"/>
        <sz val="10"/>
        <rFont val="Arial"/>
        <family val="2"/>
      </rPr>
      <t>3</t>
    </r>
  </si>
  <si>
    <t>TOTAL</t>
  </si>
  <si>
    <t>CAR TRANSPORT</t>
  </si>
  <si>
    <r>
      <t xml:space="preserve">FILL IN FUEL </t>
    </r>
    <r>
      <rPr>
        <b/>
        <i/>
        <sz val="10"/>
        <rFont val="Arial"/>
        <family val="2"/>
      </rPr>
      <t>OR</t>
    </r>
    <r>
      <rPr>
        <i/>
        <sz val="10"/>
        <rFont val="Arial"/>
        <family val="0"/>
      </rPr>
      <t xml:space="preserve"> MILEAGE</t>
    </r>
  </si>
  <si>
    <t>Table 6: Standard road transport fuel conversion factors</t>
  </si>
  <si>
    <t>Fuel used</t>
  </si>
  <si>
    <t>Total units used</t>
  </si>
  <si>
    <t>kWh/m3</t>
  </si>
  <si>
    <t>kg C02 / m3</t>
  </si>
  <si>
    <t>kg C02 / 100f3</t>
  </si>
  <si>
    <t xml:space="preserve">Natural Gas and Other Gaseous Fuels </t>
  </si>
  <si>
    <t>kwh / m3</t>
  </si>
  <si>
    <t>kg CO2 / m3</t>
  </si>
  <si>
    <t>Natural gas</t>
  </si>
  <si>
    <t>Natural Gas (Pipeline)</t>
  </si>
  <si>
    <t>NG</t>
  </si>
  <si>
    <t>Refinery gas</t>
  </si>
  <si>
    <t>Flare Gas</t>
  </si>
  <si>
    <t>FG</t>
  </si>
  <si>
    <t>Coke oven gas</t>
  </si>
  <si>
    <t>Methane</t>
  </si>
  <si>
    <t>ME</t>
  </si>
  <si>
    <t>Landfill gas</t>
  </si>
  <si>
    <t>5.3 - 6.4</t>
  </si>
  <si>
    <t>5.8-7.0*</t>
  </si>
  <si>
    <t>Landfill Gas</t>
  </si>
  <si>
    <t>LF</t>
  </si>
  <si>
    <t>Sewage gas</t>
  </si>
  <si>
    <t> </t>
  </si>
  <si>
    <t>Liquid Petroleum Gas</t>
  </si>
  <si>
    <t>Table 7: Passenger Road Transport Conversion Factors: Petrol</t>
  </si>
  <si>
    <t>Size of car and</t>
  </si>
  <si>
    <t>Total units travelled</t>
  </si>
  <si>
    <t>Small petrol car</t>
  </si>
  <si>
    <t>miles</t>
  </si>
  <si>
    <t>These factors are average values for the UK car fleet in 2003 travelling on average trips in</t>
  </si>
  <si>
    <t>Max 1.4 litre engine</t>
  </si>
  <si>
    <t>km</t>
  </si>
  <si>
    <t>the UK. Source: NAEI (Netcen, 2005) based on data from DfT combined with factors from</t>
  </si>
  <si>
    <t>Medium petrol car</t>
  </si>
  <si>
    <t>TRL as functions of average speed of vehicle derived from test data under real world</t>
  </si>
  <si>
    <t>From 1.4 – 2.1 litres</t>
  </si>
  <si>
    <t>testing cycles.</t>
  </si>
  <si>
    <t>Large petrol car</t>
  </si>
  <si>
    <t>Above 2.1 litres</t>
  </si>
  <si>
    <t>Average Petrol car</t>
  </si>
  <si>
    <t>Table 8: Passenger Road Transport Conversion Factors: Diesel Cars</t>
  </si>
  <si>
    <t>Size of Car and Distance Units</t>
  </si>
  <si>
    <t>Total Units Tracelled</t>
  </si>
  <si>
    <t>Small diesel car</t>
  </si>
  <si>
    <t>Max 2.0 litre or under</t>
  </si>
  <si>
    <t>Large diesel car</t>
  </si>
  <si>
    <t>Over 2.0 litres</t>
  </si>
  <si>
    <t>Average diesel car</t>
  </si>
  <si>
    <t>Table 10: Diesel Freight Road Mileage Conversion Factors</t>
  </si>
  <si>
    <t>Type of lorry</t>
  </si>
  <si>
    <t>%weight laden</t>
  </si>
  <si>
    <t>Total km travelled</t>
  </si>
  <si>
    <t>Litres fuel per km</t>
  </si>
  <si>
    <t>Fuel conversion factor</t>
  </si>
  <si>
    <t>Rigid</t>
  </si>
  <si>
    <t>1lb/gallon =</t>
  </si>
  <si>
    <t>kg/litre</t>
  </si>
  <si>
    <t>1000 ft3 =</t>
  </si>
  <si>
    <t>m3</t>
  </si>
  <si>
    <t>1 lb/ 1000 ft3 =</t>
  </si>
  <si>
    <t>kg / m3</t>
  </si>
  <si>
    <t xml:space="preserve">1 imperial gallon = </t>
  </si>
  <si>
    <t>1 US barrell =</t>
  </si>
  <si>
    <t>Litres</t>
  </si>
  <si>
    <t>1kWh=</t>
  </si>
  <si>
    <t>ft3</t>
  </si>
  <si>
    <t>100ft3=</t>
  </si>
  <si>
    <t>1m3</t>
  </si>
  <si>
    <t>Calorific Value and Carbon Emissions (Source: Carbon Trust)</t>
  </si>
  <si>
    <t>Calculated</t>
  </si>
  <si>
    <t>Carbon Emissions / US Figures (Source: Department of Energy)</t>
  </si>
  <si>
    <t>100% weight laden means the vehicle is travelling with loads bringing the vehicle to its</t>
  </si>
  <si>
    <t>maximum carrying capacity. If the % weight laden is unknown, an average figure of 50%</t>
  </si>
  <si>
    <t>should be used as a default figure. If the % weight laden is known, a more precise figure</t>
  </si>
  <si>
    <t>Articulated</t>
  </si>
  <si>
    <t>for the number of litres fuel per km can be derived as follows:</t>
  </si>
  <si>
    <t>For rigid lorries: litres fuel per km = 0.236 + 0.104 x (% weight laden)/100</t>
  </si>
  <si>
    <t>For articulated lorries: litres fuel per km = 0.311 + 0.137 x (% weight laden)/100</t>
  </si>
  <si>
    <t>1: FUEL (excluding transport)</t>
  </si>
  <si>
    <t>kg CO2</t>
  </si>
  <si>
    <t>2: CAR TRANSPORT</t>
  </si>
  <si>
    <t>3: OTHER TRANSPORT</t>
  </si>
  <si>
    <t>4: OTHER PROCESS EMISSIONS</t>
  </si>
  <si>
    <t>kg CO2 equivalent</t>
  </si>
  <si>
    <t>GRAND TOTAL</t>
  </si>
  <si>
    <t>FUEL (excluding transport)</t>
  </si>
  <si>
    <t>Table 2: Converting fuel types to CO2</t>
  </si>
  <si>
    <t>Fuel Type</t>
  </si>
  <si>
    <t>Amount used per year</t>
  </si>
  <si>
    <t>Units</t>
  </si>
  <si>
    <t>x</t>
  </si>
  <si>
    <t>Table 9: Rail and Air Passenger Transport</t>
  </si>
  <si>
    <t>The rail factor refers to an average emission per passenger kilometre for diesel and electric trains weighted by the proportion of electric to diesel train kilometres in 2003.</t>
  </si>
  <si>
    <t>Method of travel</t>
  </si>
  <si>
    <t>Person-kms travelled (pkm)</t>
  </si>
  <si>
    <t>Conversion CO2 per pkm</t>
  </si>
  <si>
    <t>The factor for diesel trains has been calculated based on total diesel consumed by the railways in 2003 provided by ATOC.</t>
  </si>
  <si>
    <t>Rail</t>
  </si>
  <si>
    <t>The factor for electric trains has been calculated based on average kWh per kilometre for a typical electric train and the grid electricity factor in Table 3.</t>
  </si>
  <si>
    <r>
      <t>Air</t>
    </r>
    <r>
      <rPr>
        <vertAlign val="subscript"/>
        <sz val="10"/>
        <rFont val="Arial"/>
        <family val="2"/>
      </rPr>
      <t>4</t>
    </r>
  </si>
  <si>
    <t>long haul</t>
  </si>
  <si>
    <t>The diesel/electric passenger train weighting is based on data for 2003 from AEAT Rail.</t>
  </si>
  <si>
    <t>short haul</t>
  </si>
  <si>
    <t>Aircraft factors based on factors in IPCC Manual.</t>
  </si>
  <si>
    <t>Factors for a long haul flight refer to a 5,000 km journey on a typical 450 seat capacity aircraft used for these journeys, with a 70% load factor.</t>
  </si>
  <si>
    <t>3 A zero conversion factor can only be applied if your company has entered into a</t>
  </si>
  <si>
    <t>renewables source contract with an energy supplier, that has acquired Climate Change</t>
  </si>
  <si>
    <r>
      <t xml:space="preserve">Coal </t>
    </r>
    <r>
      <rPr>
        <vertAlign val="subscript"/>
        <sz val="10"/>
        <rFont val="Arial"/>
        <family val="2"/>
      </rPr>
      <t>2</t>
    </r>
  </si>
  <si>
    <t>Levy Exemption Certificates (LECs) for the electricity supplied to you as a non-domestic</t>
  </si>
  <si>
    <t>Freight transport mode</t>
  </si>
  <si>
    <t>Tonne km</t>
  </si>
  <si>
    <t>Factor</t>
  </si>
  <si>
    <t>Source: NETCEN, British Airways, DHL, Railtrack, English, Welsh and Scottish Railways LTD</t>
  </si>
  <si>
    <t>These factors are being reviewed and are likely to change</t>
  </si>
  <si>
    <t>Air</t>
  </si>
  <si>
    <t>3 revised figure in line with factors used in National Air Emissions Inventory</t>
  </si>
  <si>
    <t>4 Long haul - Asia, Australasia, the Americas, Middle and Far East Short haul - average 500km</t>
  </si>
  <si>
    <r>
      <t>Shipping</t>
    </r>
    <r>
      <rPr>
        <vertAlign val="subscript"/>
        <sz val="10"/>
        <rFont val="Arial"/>
        <family val="2"/>
      </rPr>
      <t>5</t>
    </r>
  </si>
  <si>
    <t>small ro-ro</t>
  </si>
  <si>
    <t>5 Small ro-ro - 1,268 deadweight tonnes, max speed 16.2 knots</t>
  </si>
  <si>
    <t>large ro-ro</t>
  </si>
  <si>
    <t>Large ro-ro - 4,478 deadweight tonnes, max speed 23.2 knots</t>
  </si>
  <si>
    <t>small tanker</t>
  </si>
  <si>
    <t>Source: National Atmospheric Emissions Inventory for 2003 developed by Netcen (2005).</t>
  </si>
  <si>
    <t>UK Greenhouse Gas Inventory for 2003 developed by Netcen (2005), Digest of UK Energy</t>
  </si>
  <si>
    <t>Compressed Natural Gas</t>
  </si>
  <si>
    <t>Statistics DTI 2004 and carbon factors for fuels from UKPIA (2004)</t>
  </si>
  <si>
    <t>Large Bulk carrier - 14,201 deadweight tonnes, max speed 11.2 knots</t>
  </si>
  <si>
    <t>PROCESS EMISSIONS</t>
  </si>
  <si>
    <t>Table 4: Process related emissions</t>
  </si>
  <si>
    <t>Process</t>
  </si>
  <si>
    <t>Emission</t>
  </si>
  <si>
    <t>CO2</t>
  </si>
  <si>
    <t>CH4</t>
  </si>
  <si>
    <t>N2O</t>
  </si>
  <si>
    <t>PFC</t>
  </si>
  <si>
    <t>SF6</t>
  </si>
  <si>
    <t>HFC</t>
  </si>
  <si>
    <t>Mineral</t>
  </si>
  <si>
    <t>Cement Production</t>
  </si>
  <si>
    <t>y</t>
  </si>
  <si>
    <t>4These process related emissions refer to the types of processes that are used specifically</t>
  </si>
  <si>
    <t>Products</t>
  </si>
  <si>
    <t>Lime Production</t>
  </si>
  <si>
    <t>in the UK. Process emissions might be slightly different for processes operated in other</t>
  </si>
  <si>
    <t>Limestone Use</t>
  </si>
  <si>
    <t>countries.</t>
  </si>
  <si>
    <t>Soda Ash Production and Use</t>
  </si>
  <si>
    <t>5For use of limestone in Flue Gas Desulphurisation (FGD) and processes such as those in</t>
  </si>
  <si>
    <t>Fletton Brick Manufacture6</t>
  </si>
  <si>
    <t>the glass industry. Not all uses of limestone release CO2.</t>
  </si>
  <si>
    <t>Chemical</t>
  </si>
  <si>
    <t>Ammonia</t>
  </si>
  <si>
    <t>6This is specific to Fletton brick manufacture at the mineral processing stage, a process</t>
  </si>
  <si>
    <t>Industry</t>
  </si>
  <si>
    <t>Nitric Acid</t>
  </si>
  <si>
    <t>that uses clay with high organic content. Other types of brick manufacturing in the UK do</t>
  </si>
  <si>
    <t>The % weight laden refers to the extent to which the vehicle is loaded to their maximum</t>
  </si>
  <si>
    <t>carrying capacity. So a 0% weight laden means the vehicle is travelling carrying no loads.</t>
  </si>
  <si>
    <t>National greenhouse Gas Inventories, (1997) IPCC, adapted for UK processes by Netcen.</t>
  </si>
  <si>
    <t>Caprolactam</t>
  </si>
  <si>
    <t>Petrochemicals</t>
  </si>
  <si>
    <t>Metal</t>
  </si>
  <si>
    <t>Iron, Steel and Ferroalloys</t>
  </si>
  <si>
    <t>production</t>
  </si>
  <si>
    <t>Aluminium</t>
  </si>
  <si>
    <t>Magnesium</t>
  </si>
  <si>
    <t>Other Metals</t>
  </si>
  <si>
    <t>Energy</t>
  </si>
  <si>
    <t>Coal mining</t>
  </si>
  <si>
    <t>Solid fuel transformation</t>
  </si>
  <si>
    <t>Oil production</t>
  </si>
  <si>
    <t>Gas production and distribution</t>
  </si>
  <si>
    <t>Venting and flaring from oil/gas production.</t>
  </si>
  <si>
    <t>Other</t>
  </si>
  <si>
    <t>Production of Halocarbons</t>
  </si>
  <si>
    <t>Use of Halocarbons and SF6</t>
  </si>
  <si>
    <t>Organic Waste Management</t>
  </si>
  <si>
    <t>Table 5: Factors for process emissions</t>
  </si>
  <si>
    <t>Amount Emitted per Year in tonnes</t>
  </si>
  <si>
    <t>Conversion Factor</t>
  </si>
  <si>
    <t>Total kg CO2 equivalent</t>
  </si>
  <si>
    <t>These factors refer to vehicles running on diesel fuel.</t>
  </si>
  <si>
    <t>Source: Continuing Survey of Road Goods Transport 2003; NAEI (Netcen, 2005) based on</t>
  </si>
  <si>
    <t>load correction factors taken from COPERT III.</t>
  </si>
  <si>
    <t>OTHER TRANSPORT</t>
  </si>
  <si>
    <t>Source: Netcen (2005)</t>
  </si>
  <si>
    <t>CO2 (excl fuel/transport)</t>
  </si>
  <si>
    <t>Source: The conversion factors in the table above incorporate global warming potential</t>
  </si>
  <si>
    <t>(GWP) values published by the IPCC in its Second Assessment Report (Climate Change</t>
  </si>
  <si>
    <t>Nitrous Oxide</t>
  </si>
  <si>
    <t>1995. The Science of Climate Change. Contribution of Working Group I to the Second</t>
  </si>
  <si>
    <t>HFC – 125</t>
  </si>
  <si>
    <t>Assessment Report of the Intergovernmental Panel on Climate Change. (Eds. J.T</t>
  </si>
  <si>
    <t>HFC – 134</t>
  </si>
  <si>
    <t>Houghton et al). Published for the Intergovernmental Panel on Climate Change by</t>
  </si>
  <si>
    <r>
      <t>HFC – 134</t>
    </r>
    <r>
      <rPr>
        <vertAlign val="subscript"/>
        <sz val="10"/>
        <rFont val="Arial"/>
        <family val="2"/>
      </rPr>
      <t>a</t>
    </r>
  </si>
  <si>
    <t>Cambridge University Press 1996). Revised GWP values have since been published by</t>
  </si>
  <si>
    <t>HFC – 143</t>
  </si>
  <si>
    <t>the IPCC in the Third Assessment Report (2001) but current UNFCCC Guidelines on</t>
  </si>
  <si>
    <r>
      <t>HFC – 143</t>
    </r>
    <r>
      <rPr>
        <vertAlign val="subscript"/>
        <sz val="10"/>
        <rFont val="Arial"/>
        <family val="2"/>
      </rPr>
      <t>a</t>
    </r>
  </si>
  <si>
    <t>Reporting and Review, adopted before the publication of the Third Assessment Report,</t>
  </si>
  <si>
    <r>
      <t>HFC – 152</t>
    </r>
    <r>
      <rPr>
        <vertAlign val="subscript"/>
        <sz val="10"/>
        <rFont val="Arial"/>
        <family val="2"/>
      </rPr>
      <t>a</t>
    </r>
  </si>
  <si>
    <t>require emission estimates to be based on the GWPs in the IPCC Second Assessment</t>
  </si>
  <si>
    <r>
      <t>HFC – 227</t>
    </r>
    <r>
      <rPr>
        <vertAlign val="subscript"/>
        <sz val="10"/>
        <rFont val="Arial"/>
        <family val="2"/>
      </rPr>
      <t>ea</t>
    </r>
  </si>
  <si>
    <t>Report.</t>
  </si>
  <si>
    <t>HFC – 23</t>
  </si>
  <si>
    <t>Factors for a short haul flight refer to a 500 km journey on a typical 128 seat capacity aircraft used for these journeys, with a 65% load factor.</t>
  </si>
  <si>
    <t>Table 11: Other Freight Mileage Conversion Factors</t>
  </si>
  <si>
    <t>Not all refrigerants in use are classified as greenhouse gases for the purposes of the</t>
  </si>
  <si>
    <r>
      <t>HFC – 236</t>
    </r>
    <r>
      <rPr>
        <vertAlign val="subscript"/>
        <sz val="10"/>
        <rFont val="Arial"/>
        <family val="2"/>
      </rPr>
      <t>fa</t>
    </r>
  </si>
  <si>
    <t>Climate Change Programme (e.g. CFCs, HCFCs). GWP values for refrigerant HFC blends</t>
  </si>
  <si>
    <r>
      <t>HFC – 245</t>
    </r>
    <r>
      <rPr>
        <vertAlign val="subscript"/>
        <sz val="10"/>
        <rFont val="Arial"/>
        <family val="2"/>
      </rPr>
      <t>ca</t>
    </r>
  </si>
  <si>
    <t>should be calculated on the basis of the percentage blend composition (e.g. the GWP for</t>
  </si>
  <si>
    <t>HFC – 32</t>
  </si>
  <si>
    <t>R404a that comprises is 44% HFC125, 52% HFC143a and 4% HFC134a is 2800x0.44 +</t>
  </si>
  <si>
    <t>HFC – 41</t>
  </si>
  <si>
    <t>3800x0.52 + 1300x0.04 = 3260).</t>
  </si>
  <si>
    <r>
      <t>HFC – 43 – l0</t>
    </r>
    <r>
      <rPr>
        <vertAlign val="subscript"/>
        <sz val="10"/>
        <rFont val="Arial"/>
        <family val="2"/>
      </rPr>
      <t>mee</t>
    </r>
  </si>
  <si>
    <t>Perfluorobutane</t>
  </si>
  <si>
    <t>Perfluoromethane</t>
  </si>
  <si>
    <t>*</t>
  </si>
  <si>
    <t>Perfluoropropane</t>
  </si>
  <si>
    <t>Perfluoropentane</t>
  </si>
  <si>
    <t>Perfluorocyclobutane</t>
  </si>
  <si>
    <t>Perfluoroethane</t>
  </si>
  <si>
    <t>Perfluorohexane</t>
  </si>
  <si>
    <t>Instructions: Fill in yellow boxes below, making sure never to count the same item  twice.</t>
  </si>
  <si>
    <t>BUSINESS CO2 emissions CALCULATOR</t>
  </si>
  <si>
    <t>Small tanker - 844 deadweight tonnes, max speed 8.2 knots</t>
  </si>
  <si>
    <t>large tanker</t>
  </si>
  <si>
    <t>Large Tanker - 18,371deadweight tonnes, max speed 15 knots</t>
  </si>
  <si>
    <t>small bulk carrier</t>
  </si>
  <si>
    <t>Small Bulk carrier - 1,720 deadweight tonnes, max speed 10.9 knots</t>
  </si>
  <si>
    <t>large bulk carrier</t>
  </si>
  <si>
    <t>Discover the importance for the planet of carbon reduction in your own life (or family, or group, or company)</t>
  </si>
  <si>
    <t>Number of large trees needed to absorb the same amount of carbon (millions of trees) :</t>
  </si>
  <si>
    <t>CO2 emitted by your country for electricity production :</t>
  </si>
  <si>
    <t>OIL HEATING</t>
  </si>
  <si>
    <t>A large tree absorbs 500 kgs of carbon, i.e. about 1.5 ton of CO2 while growing, over 50 years (average 0.03 tons = 30 kgs CO2 per year)</t>
  </si>
  <si>
    <t>For suggestions on how to improve this tool : please write to us and send your suggestions to: CO2calculator[at]ecolo.org</t>
  </si>
  <si>
    <t>This is an open-source software, please feel free to circulate this tool to your colleagues, your friends, your contacts...</t>
  </si>
  <si>
    <t>as it is, as long as you mention the author and EFN (+ web site ecolo.org) and keep us informed of any improvements.</t>
  </si>
  <si>
    <t>Adipic Acid</t>
  </si>
  <si>
    <t>not release Greenhouse Gas emissions during the processing stage</t>
  </si>
  <si>
    <t>Urea</t>
  </si>
  <si>
    <t>Source: Greenhouse Gas Inventory Reference Manual, Revised 1996 IPCC Guidelines for</t>
  </si>
  <si>
    <t>Carbides</t>
  </si>
</sst>
</file>

<file path=xl/styles.xml><?xml version="1.0" encoding="utf-8"?>
<styleSheet xmlns="http://schemas.openxmlformats.org/spreadsheetml/2006/main">
  <numFmts count="41">
    <numFmt numFmtId="5" formatCode="&quot;£ &quot;#,##0;\-&quot;£ &quot;#,##0"/>
    <numFmt numFmtId="6" formatCode="&quot;£ &quot;#,##0;[Red]\-&quot;£ &quot;#,##0"/>
    <numFmt numFmtId="7" formatCode="&quot;£ &quot;#,##0.00;\-&quot;£ &quot;#,##0.00"/>
    <numFmt numFmtId="8" formatCode="&quot;£ &quot;#,##0.00;[Red]\-&quot;£ &quot;#,##0.00"/>
    <numFmt numFmtId="42" formatCode="_-&quot;£ &quot;* #,##0_-;\-&quot;£ &quot;* #,##0_-;_-&quot;£ &quot;* &quot;-&quot;_-;_-@_-"/>
    <numFmt numFmtId="41" formatCode="_-* #,##0_-;\-* #,##0_-;_-* &quot;-&quot;_-;_-@_-"/>
    <numFmt numFmtId="44" formatCode="_-&quot;£ &quot;* #,##0.00_-;\-&quot;£ &quot;* #,##0.00_-;_-&quot;£ &quot;* &quot;-&quot;??_-;_-@_-"/>
    <numFmt numFmtId="43" formatCode="_-* #,##0.00_-;\-* #,##0.00_-;_-* &quot;-&quot;??_-;_-@_-"/>
    <numFmt numFmtId="164" formatCode="#,##0&quot; €&quot;;\-#,##0&quot; €&quot;"/>
    <numFmt numFmtId="165" formatCode="#,##0&quot; €&quot;;[Red]\-#,##0&quot; €&quot;"/>
    <numFmt numFmtId="166" formatCode="#,##0.00&quot; €&quot;;\-#,##0.00&quot; €&quot;"/>
    <numFmt numFmtId="167" formatCode="#,##0.00&quot; €&quot;;[Red]\-#,##0.00&quot; €&quot;"/>
    <numFmt numFmtId="168" formatCode="_-* #,##0&quot; €&quot;_-;\-* #,##0&quot; €&quot;_-;_-* &quot;-&quot;&quot; €&quot;_-;_-@_-"/>
    <numFmt numFmtId="169" formatCode="_-* #,##0_ _€_-;\-* #,##0_ _€_-;_-* &quot;-&quot;_ _€_-;_-@_-"/>
    <numFmt numFmtId="170" formatCode="_-* #,##0.00&quot; €&quot;_-;\-* #,##0.00&quot; €&quot;_-;_-* &quot;-&quot;??&quot; €&quot;_-;_-@_-"/>
    <numFmt numFmtId="171" formatCode="_-* #,##0.00_ _€_-;\-* #,##0.00_ _€_-;_-* &quot;-&quot;??_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0.000"/>
    <numFmt numFmtId="187" formatCode="0.0"/>
    <numFmt numFmtId="188" formatCode="0\ %"/>
    <numFmt numFmtId="189" formatCode="#,##0.0"/>
    <numFmt numFmtId="190" formatCode="_-* #,##0.00_-;\-* #,##0.00_-;_-* \-??_-;_-@_-"/>
    <numFmt numFmtId="191" formatCode="_-* #,##0_-;\-* #,##0_-;_-* &quot;-&quot;??_-;_-@_-"/>
    <numFmt numFmtId="192" formatCode="_-* #,##0_-;\-* #,##0_-;_-* \-??_-;_-@_-"/>
    <numFmt numFmtId="193" formatCode="_-* #,##0.000_-;\-* #,##0.000_-;_-* \-??_-;_-@_-"/>
    <numFmt numFmtId="194" formatCode="0E+00"/>
    <numFmt numFmtId="195" formatCode="_-* #,##0.0_-;\-* #,##0.0_-;_-* \-??_-;_-@_-"/>
    <numFmt numFmtId="196" formatCode="_-* #,##0.000_-;\-* #,##0.000_-;_-* &quot;-&quot;??_-;_-@_-"/>
  </numFmts>
  <fonts count="30">
    <font>
      <sz val="10"/>
      <name val="Arial"/>
      <family val="0"/>
    </font>
    <font>
      <b/>
      <sz val="10"/>
      <name val="Arial"/>
      <family val="2"/>
    </font>
    <font>
      <b/>
      <sz val="15"/>
      <name val="Arial"/>
      <family val="2"/>
    </font>
    <font>
      <sz val="10"/>
      <color indexed="10"/>
      <name val="Arial"/>
      <family val="2"/>
    </font>
    <font>
      <u val="single"/>
      <sz val="10"/>
      <color indexed="12"/>
      <name val="Arial"/>
      <family val="0"/>
    </font>
    <font>
      <u val="single"/>
      <sz val="10"/>
      <color indexed="36"/>
      <name val="Arial"/>
      <family val="0"/>
    </font>
    <font>
      <b/>
      <sz val="16"/>
      <color indexed="39"/>
      <name val="Arial"/>
      <family val="0"/>
    </font>
    <font>
      <sz val="10"/>
      <color indexed="12"/>
      <name val="Arial"/>
      <family val="0"/>
    </font>
    <font>
      <sz val="8"/>
      <color indexed="10"/>
      <name val="Arial"/>
      <family val="0"/>
    </font>
    <font>
      <b/>
      <sz val="10"/>
      <color indexed="9"/>
      <name val="Arial"/>
      <family val="0"/>
    </font>
    <font>
      <sz val="10"/>
      <color indexed="9"/>
      <name val="Arial"/>
      <family val="0"/>
    </font>
    <font>
      <b/>
      <sz val="15"/>
      <color indexed="9"/>
      <name val="Arial"/>
      <family val="0"/>
    </font>
    <font>
      <b/>
      <sz val="20"/>
      <color indexed="9"/>
      <name val="Arial"/>
      <family val="0"/>
    </font>
    <font>
      <sz val="15"/>
      <color indexed="9"/>
      <name val="Arial"/>
      <family val="0"/>
    </font>
    <font>
      <sz val="10"/>
      <color indexed="11"/>
      <name val="Arial"/>
      <family val="0"/>
    </font>
    <font>
      <b/>
      <sz val="24"/>
      <color indexed="9"/>
      <name val="Arial"/>
      <family val="0"/>
    </font>
    <font>
      <b/>
      <sz val="10"/>
      <color indexed="11"/>
      <name val="Arial"/>
      <family val="0"/>
    </font>
    <font>
      <b/>
      <sz val="15"/>
      <color indexed="11"/>
      <name val="Arial"/>
      <family val="0"/>
    </font>
    <font>
      <sz val="10"/>
      <color indexed="8"/>
      <name val="Arial"/>
      <family val="0"/>
    </font>
    <font>
      <sz val="12"/>
      <color indexed="11"/>
      <name val="Arial"/>
      <family val="0"/>
    </font>
    <font>
      <b/>
      <sz val="20"/>
      <color indexed="11"/>
      <name val="Arial"/>
      <family val="0"/>
    </font>
    <font>
      <b/>
      <sz val="24"/>
      <color indexed="12"/>
      <name val="Arial"/>
      <family val="0"/>
    </font>
    <font>
      <b/>
      <vertAlign val="superscript"/>
      <sz val="15"/>
      <color indexed="9"/>
      <name val="Arial"/>
      <family val="0"/>
    </font>
    <font>
      <b/>
      <sz val="15"/>
      <color indexed="10"/>
      <name val="Arial"/>
      <family val="0"/>
    </font>
    <font>
      <i/>
      <sz val="10"/>
      <name val="Arial"/>
      <family val="0"/>
    </font>
    <font>
      <u val="single"/>
      <sz val="10"/>
      <name val="Arial"/>
      <family val="0"/>
    </font>
    <font>
      <sz val="8"/>
      <name val="Verdana"/>
      <family val="0"/>
    </font>
    <font>
      <b/>
      <i/>
      <sz val="10"/>
      <name val="Arial"/>
      <family val="2"/>
    </font>
    <font>
      <b/>
      <sz val="14"/>
      <name val="Arial"/>
      <family val="2"/>
    </font>
    <font>
      <vertAlign val="subscript"/>
      <sz val="10"/>
      <name val="Arial"/>
      <family val="2"/>
    </font>
  </fonts>
  <fills count="7">
    <fill>
      <patternFill/>
    </fill>
    <fill>
      <patternFill patternType="gray125"/>
    </fill>
    <fill>
      <patternFill patternType="solid">
        <fgColor indexed="11"/>
        <bgColor indexed="64"/>
      </patternFill>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indexed="13"/>
        <bgColor indexed="64"/>
      </patternFill>
    </fill>
  </fills>
  <borders count="44">
    <border>
      <left/>
      <right/>
      <top/>
      <bottom/>
      <diagonal/>
    </border>
    <border>
      <left style="thin"/>
      <right style="thin"/>
      <top style="thin"/>
      <bottom style="thin"/>
    </border>
    <border>
      <left style="thin"/>
      <right>
        <color indexed="63"/>
      </right>
      <top style="thin"/>
      <bottom style="thin"/>
    </border>
    <border>
      <left style="medium">
        <color indexed="9"/>
      </left>
      <right>
        <color indexed="63"/>
      </right>
      <top>
        <color indexed="63"/>
      </top>
      <bottom style="medium">
        <color indexed="9"/>
      </bottom>
    </border>
    <border>
      <left>
        <color indexed="63"/>
      </left>
      <right style="medium">
        <color indexed="9"/>
      </right>
      <top>
        <color indexed="63"/>
      </top>
      <bottom style="medium">
        <color indexed="9"/>
      </bottom>
    </border>
    <border>
      <left>
        <color indexed="63"/>
      </left>
      <right style="medium">
        <color indexed="9"/>
      </right>
      <top style="medium">
        <color indexed="9"/>
      </top>
      <bottom style="medium">
        <color indexed="9"/>
      </bottom>
    </border>
    <border>
      <left style="medium">
        <color indexed="9"/>
      </left>
      <right>
        <color indexed="63"/>
      </right>
      <top style="medium">
        <color indexed="9"/>
      </top>
      <bottom style="medium">
        <color indexed="9"/>
      </bottom>
    </border>
    <border>
      <left>
        <color indexed="63"/>
      </left>
      <right style="medium">
        <color indexed="9"/>
      </right>
      <top style="medium">
        <color indexed="9"/>
      </top>
      <bottom>
        <color indexed="63"/>
      </bottom>
    </border>
    <border>
      <left style="medium">
        <color indexed="9"/>
      </left>
      <right>
        <color indexed="63"/>
      </right>
      <top style="medium">
        <color indexed="9"/>
      </top>
      <bottom>
        <color indexed="63"/>
      </bottom>
    </border>
    <border>
      <left>
        <color indexed="63"/>
      </left>
      <right style="thin"/>
      <top>
        <color indexed="63"/>
      </top>
      <bottom>
        <color indexed="63"/>
      </bottom>
    </border>
    <border>
      <left style="thin"/>
      <right style="thin"/>
      <top>
        <color indexed="63"/>
      </top>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color indexed="63"/>
      </top>
      <bottom style="thin"/>
    </border>
    <border>
      <left style="thin"/>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medium"/>
      <top style="thin"/>
      <bottom>
        <color indexed="63"/>
      </bottom>
    </border>
    <border>
      <left style="thin"/>
      <right style="thin"/>
      <top style="thin"/>
      <bottom>
        <color indexed="63"/>
      </bottom>
    </border>
    <border>
      <left>
        <color indexed="63"/>
      </left>
      <right style="medium"/>
      <top>
        <color indexed="63"/>
      </top>
      <bottom style="thin"/>
    </border>
    <border>
      <left style="thin"/>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style="thin"/>
      <top>
        <color indexed="63"/>
      </top>
      <bottom style="thin"/>
    </border>
    <border>
      <left>
        <color indexed="63"/>
      </left>
      <right style="medium"/>
      <top style="thin"/>
      <bottom style="thin"/>
    </border>
    <border>
      <left>
        <color indexed="63"/>
      </left>
      <right>
        <color indexed="63"/>
      </right>
      <top style="thin"/>
      <bottom style="medium"/>
    </border>
    <border>
      <left>
        <color indexed="63"/>
      </left>
      <right style="thin">
        <color indexed="8"/>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405">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0" fillId="0" borderId="0" xfId="0" applyFont="1" applyAlignment="1">
      <alignment/>
    </xf>
    <xf numFmtId="0" fontId="0" fillId="0" borderId="0" xfId="0" applyAlignment="1">
      <alignment horizontal="right"/>
    </xf>
    <xf numFmtId="0" fontId="1" fillId="0" borderId="0" xfId="0" applyFont="1" applyAlignment="1">
      <alignment wrapText="1"/>
    </xf>
    <xf numFmtId="188" fontId="0" fillId="0" borderId="0" xfId="0" applyNumberFormat="1" applyAlignment="1">
      <alignment/>
    </xf>
    <xf numFmtId="188" fontId="1" fillId="0" borderId="0" xfId="0" applyNumberFormat="1" applyFont="1" applyAlignment="1">
      <alignment wrapText="1"/>
    </xf>
    <xf numFmtId="0" fontId="3" fillId="0" borderId="0" xfId="0" applyFont="1" applyAlignment="1">
      <alignment wrapText="1"/>
    </xf>
    <xf numFmtId="0" fontId="0" fillId="0" borderId="0" xfId="0" applyAlignment="1">
      <alignment horizontal="center"/>
    </xf>
    <xf numFmtId="1" fontId="0" fillId="0" borderId="0" xfId="0" applyNumberFormat="1" applyAlignment="1">
      <alignment horizontal="center"/>
    </xf>
    <xf numFmtId="0" fontId="1" fillId="0" borderId="0" xfId="0" applyFont="1" applyAlignment="1">
      <alignment horizontal="center" wrapText="1"/>
    </xf>
    <xf numFmtId="1" fontId="1" fillId="0" borderId="0" xfId="0" applyNumberFormat="1" applyFont="1" applyAlignment="1">
      <alignment horizontal="center" wrapText="1"/>
    </xf>
    <xf numFmtId="0" fontId="0" fillId="0" borderId="0" xfId="0" applyAlignment="1">
      <alignment horizontal="center" wrapText="1"/>
    </xf>
    <xf numFmtId="0" fontId="0" fillId="0" borderId="0" xfId="0" applyFill="1" applyAlignment="1">
      <alignment horizontal="center"/>
    </xf>
    <xf numFmtId="0" fontId="0" fillId="1" borderId="1" xfId="0" applyFill="1" applyBorder="1" applyAlignment="1">
      <alignment horizontal="center"/>
    </xf>
    <xf numFmtId="0" fontId="1" fillId="0" borderId="0" xfId="0" applyFont="1" applyAlignment="1">
      <alignment horizontal="center"/>
    </xf>
    <xf numFmtId="0" fontId="0" fillId="0" borderId="0" xfId="0" applyFont="1" applyAlignment="1">
      <alignment horizontal="center"/>
    </xf>
    <xf numFmtId="0" fontId="0" fillId="1" borderId="2" xfId="0" applyFill="1" applyBorder="1" applyAlignment="1">
      <alignment horizontal="center"/>
    </xf>
    <xf numFmtId="0" fontId="0" fillId="0" borderId="0" xfId="0" applyFill="1" applyBorder="1" applyAlignment="1">
      <alignment horizontal="center"/>
    </xf>
    <xf numFmtId="0" fontId="0" fillId="0" borderId="0" xfId="0" applyFont="1" applyAlignment="1">
      <alignment/>
    </xf>
    <xf numFmtId="0" fontId="6" fillId="0" borderId="0" xfId="0" applyFont="1" applyAlignment="1">
      <alignment/>
    </xf>
    <xf numFmtId="1" fontId="2" fillId="0" borderId="0" xfId="0" applyNumberFormat="1" applyFont="1" applyAlignment="1">
      <alignment horizontal="center"/>
    </xf>
    <xf numFmtId="188" fontId="0" fillId="0" borderId="0" xfId="0" applyNumberFormat="1" applyFont="1" applyAlignment="1">
      <alignment/>
    </xf>
    <xf numFmtId="0" fontId="8" fillId="0" borderId="0" xfId="0" applyFont="1" applyAlignment="1">
      <alignment vertical="center"/>
    </xf>
    <xf numFmtId="1" fontId="1" fillId="0" borderId="0" xfId="0" applyNumberFormat="1" applyFont="1" applyFill="1" applyBorder="1" applyAlignment="1">
      <alignment horizontal="center"/>
    </xf>
    <xf numFmtId="1" fontId="1" fillId="0" borderId="1" xfId="0" applyNumberFormat="1" applyFont="1" applyFill="1" applyBorder="1" applyAlignment="1">
      <alignment horizontal="center"/>
    </xf>
    <xf numFmtId="1" fontId="1" fillId="0" borderId="0" xfId="0" applyNumberFormat="1" applyFont="1" applyFill="1" applyAlignment="1">
      <alignment horizontal="center"/>
    </xf>
    <xf numFmtId="1" fontId="1" fillId="0" borderId="2" xfId="0" applyNumberFormat="1" applyFont="1" applyFill="1" applyBorder="1" applyAlignment="1">
      <alignment horizontal="center"/>
    </xf>
    <xf numFmtId="188" fontId="7" fillId="0" borderId="0" xfId="0" applyNumberFormat="1" applyFont="1" applyAlignment="1">
      <alignment/>
    </xf>
    <xf numFmtId="188" fontId="9" fillId="2" borderId="3" xfId="0" applyNumberFormat="1" applyFont="1" applyFill="1" applyBorder="1" applyAlignment="1">
      <alignment/>
    </xf>
    <xf numFmtId="0" fontId="11" fillId="2" borderId="0" xfId="0" applyFont="1" applyFill="1" applyBorder="1" applyAlignment="1">
      <alignment/>
    </xf>
    <xf numFmtId="0" fontId="10" fillId="2" borderId="0" xfId="0" applyFont="1" applyFill="1" applyBorder="1" applyAlignment="1">
      <alignment horizontal="center"/>
    </xf>
    <xf numFmtId="1" fontId="12" fillId="2" borderId="0" xfId="0" applyNumberFormat="1" applyFont="1" applyFill="1" applyBorder="1" applyAlignment="1">
      <alignment horizontal="center"/>
    </xf>
    <xf numFmtId="188" fontId="11" fillId="2" borderId="0" xfId="0" applyNumberFormat="1" applyFont="1" applyFill="1" applyBorder="1" applyAlignment="1">
      <alignment/>
    </xf>
    <xf numFmtId="0" fontId="10" fillId="2" borderId="0" xfId="0" applyFont="1" applyFill="1" applyBorder="1" applyAlignment="1">
      <alignment/>
    </xf>
    <xf numFmtId="1" fontId="9" fillId="2" borderId="4" xfId="0" applyNumberFormat="1" applyFont="1" applyFill="1" applyBorder="1" applyAlignment="1">
      <alignment horizontal="center"/>
    </xf>
    <xf numFmtId="1" fontId="9" fillId="2" borderId="5" xfId="0" applyNumberFormat="1" applyFont="1" applyFill="1" applyBorder="1" applyAlignment="1">
      <alignment horizontal="center"/>
    </xf>
    <xf numFmtId="188" fontId="9" fillId="2" borderId="6" xfId="0" applyNumberFormat="1" applyFont="1" applyFill="1" applyBorder="1" applyAlignment="1">
      <alignment/>
    </xf>
    <xf numFmtId="1" fontId="9" fillId="2" borderId="7" xfId="0" applyNumberFormat="1" applyFont="1" applyFill="1" applyBorder="1" applyAlignment="1">
      <alignment horizontal="center"/>
    </xf>
    <xf numFmtId="188" fontId="9" fillId="2" borderId="8" xfId="0" applyNumberFormat="1" applyFont="1" applyFill="1" applyBorder="1" applyAlignment="1">
      <alignment/>
    </xf>
    <xf numFmtId="0" fontId="11" fillId="2" borderId="0" xfId="0" applyFont="1" applyFill="1" applyAlignment="1">
      <alignment/>
    </xf>
    <xf numFmtId="0" fontId="10" fillId="2" borderId="0" xfId="0" applyFont="1" applyFill="1" applyAlignment="1">
      <alignment horizontal="center"/>
    </xf>
    <xf numFmtId="1" fontId="12" fillId="2" borderId="0" xfId="0" applyNumberFormat="1" applyFont="1" applyFill="1" applyAlignment="1">
      <alignment horizontal="center"/>
    </xf>
    <xf numFmtId="188" fontId="11" fillId="2" borderId="0" xfId="0" applyNumberFormat="1" applyFont="1" applyFill="1" applyAlignment="1">
      <alignment/>
    </xf>
    <xf numFmtId="0" fontId="10" fillId="2" borderId="0" xfId="0" applyFont="1" applyFill="1" applyAlignment="1">
      <alignment/>
    </xf>
    <xf numFmtId="0" fontId="0" fillId="0" borderId="0" xfId="0" applyAlignment="1">
      <alignment horizontal="left"/>
    </xf>
    <xf numFmtId="0" fontId="11" fillId="2" borderId="0" xfId="0" applyFont="1" applyFill="1" applyBorder="1" applyAlignment="1">
      <alignment horizontal="center"/>
    </xf>
    <xf numFmtId="0" fontId="0" fillId="0" borderId="0" xfId="0" applyFont="1" applyFill="1" applyBorder="1" applyAlignment="1">
      <alignment vertical="center"/>
    </xf>
    <xf numFmtId="0" fontId="3" fillId="0" borderId="0" xfId="0" applyFont="1" applyAlignment="1">
      <alignment vertical="center"/>
    </xf>
    <xf numFmtId="0" fontId="3" fillId="0" borderId="0" xfId="0" applyFont="1" applyFill="1" applyBorder="1" applyAlignment="1">
      <alignment vertical="center"/>
    </xf>
    <xf numFmtId="0" fontId="11" fillId="2" borderId="0" xfId="0" applyFont="1" applyFill="1" applyBorder="1" applyAlignment="1">
      <alignment wrapText="1"/>
    </xf>
    <xf numFmtId="0" fontId="13" fillId="2" borderId="0" xfId="0" applyFont="1" applyFill="1" applyBorder="1" applyAlignment="1">
      <alignment horizontal="center"/>
    </xf>
    <xf numFmtId="1" fontId="12" fillId="2" borderId="0" xfId="0" applyNumberFormat="1" applyFont="1" applyFill="1" applyBorder="1" applyAlignment="1">
      <alignment horizontal="center" vertical="center"/>
    </xf>
    <xf numFmtId="188" fontId="11" fillId="2" borderId="0" xfId="0" applyNumberFormat="1" applyFont="1" applyFill="1" applyBorder="1" applyAlignment="1">
      <alignment vertical="center"/>
    </xf>
    <xf numFmtId="0" fontId="13" fillId="2" borderId="0" xfId="0" applyFont="1" applyFill="1" applyBorder="1" applyAlignment="1">
      <alignment/>
    </xf>
    <xf numFmtId="0" fontId="11" fillId="2" borderId="0" xfId="0" applyFont="1" applyFill="1" applyBorder="1" applyAlignment="1">
      <alignment vertical="center" wrapText="1"/>
    </xf>
    <xf numFmtId="0" fontId="10" fillId="2" borderId="0" xfId="0" applyFont="1" applyFill="1" applyBorder="1" applyAlignment="1">
      <alignment horizontal="center" vertical="center"/>
    </xf>
    <xf numFmtId="0" fontId="10" fillId="2" borderId="0" xfId="0" applyFont="1" applyFill="1" applyBorder="1" applyAlignment="1">
      <alignment vertical="center"/>
    </xf>
    <xf numFmtId="1" fontId="11" fillId="2" borderId="0" xfId="0" applyNumberFormat="1" applyFont="1" applyFill="1" applyBorder="1" applyAlignment="1">
      <alignment horizontal="center"/>
    </xf>
    <xf numFmtId="0" fontId="14" fillId="0" borderId="0" xfId="0" applyFont="1" applyAlignment="1">
      <alignment/>
    </xf>
    <xf numFmtId="0" fontId="14" fillId="0" borderId="0" xfId="0" applyFont="1" applyAlignment="1">
      <alignment horizontal="center"/>
    </xf>
    <xf numFmtId="0" fontId="14" fillId="0" borderId="0" xfId="0" applyFont="1" applyAlignment="1">
      <alignment horizontal="left"/>
    </xf>
    <xf numFmtId="0" fontId="14" fillId="0" borderId="0" xfId="0" applyFont="1" applyAlignment="1">
      <alignment/>
    </xf>
    <xf numFmtId="0" fontId="15" fillId="2" borderId="0" xfId="0" applyFont="1" applyFill="1" applyAlignment="1">
      <alignment horizontal="left"/>
    </xf>
    <xf numFmtId="0" fontId="10" fillId="2" borderId="0" xfId="0" applyFont="1" applyFill="1" applyAlignment="1">
      <alignment horizontal="left"/>
    </xf>
    <xf numFmtId="0" fontId="16" fillId="0" borderId="0" xfId="0" applyFont="1" applyAlignment="1">
      <alignment/>
    </xf>
    <xf numFmtId="0" fontId="17" fillId="0" borderId="0" xfId="0" applyFont="1" applyAlignment="1">
      <alignment/>
    </xf>
    <xf numFmtId="0" fontId="17" fillId="0" borderId="0" xfId="0" applyFont="1" applyAlignment="1">
      <alignment wrapText="1"/>
    </xf>
    <xf numFmtId="188" fontId="18" fillId="0" borderId="0" xfId="0" applyNumberFormat="1" applyFont="1" applyFill="1" applyBorder="1" applyAlignment="1">
      <alignment vertical="center"/>
    </xf>
    <xf numFmtId="188" fontId="0" fillId="0" borderId="0" xfId="0" applyNumberFormat="1" applyFont="1" applyAlignment="1">
      <alignment/>
    </xf>
    <xf numFmtId="1" fontId="17" fillId="0" borderId="0" xfId="0" applyNumberFormat="1" applyFont="1" applyAlignment="1">
      <alignment horizontal="left"/>
    </xf>
    <xf numFmtId="1" fontId="11" fillId="2" borderId="0" xfId="0" applyNumberFormat="1" applyFont="1" applyFill="1" applyAlignment="1">
      <alignment horizontal="left"/>
    </xf>
    <xf numFmtId="0" fontId="0" fillId="0" borderId="0" xfId="0" applyFont="1" applyFill="1" applyAlignment="1">
      <alignment/>
    </xf>
    <xf numFmtId="1" fontId="10" fillId="2" borderId="0" xfId="0" applyNumberFormat="1" applyFont="1" applyFill="1" applyAlignment="1">
      <alignment horizontal="center"/>
    </xf>
    <xf numFmtId="188" fontId="10" fillId="2" borderId="0" xfId="0" applyNumberFormat="1" applyFont="1" applyFill="1" applyAlignment="1">
      <alignment/>
    </xf>
    <xf numFmtId="1" fontId="11" fillId="2" borderId="0" xfId="0" applyNumberFormat="1" applyFont="1" applyFill="1" applyBorder="1" applyAlignment="1">
      <alignment horizontal="left"/>
    </xf>
    <xf numFmtId="1" fontId="11" fillId="2" borderId="0" xfId="0" applyNumberFormat="1" applyFont="1" applyFill="1" applyBorder="1" applyAlignment="1">
      <alignment horizontal="right"/>
    </xf>
    <xf numFmtId="0" fontId="11" fillId="2" borderId="0" xfId="0" applyFont="1" applyFill="1" applyBorder="1" applyAlignment="1">
      <alignment horizontal="left"/>
    </xf>
    <xf numFmtId="0" fontId="17" fillId="3" borderId="0" xfId="0" applyFont="1" applyFill="1" applyBorder="1" applyAlignment="1">
      <alignment/>
    </xf>
    <xf numFmtId="0" fontId="14" fillId="3" borderId="0" xfId="0" applyFont="1" applyFill="1" applyBorder="1" applyAlignment="1">
      <alignment horizontal="center"/>
    </xf>
    <xf numFmtId="1" fontId="20" fillId="3" borderId="0" xfId="0" applyNumberFormat="1" applyFont="1" applyFill="1" applyBorder="1" applyAlignment="1">
      <alignment horizontal="center"/>
    </xf>
    <xf numFmtId="188" fontId="17" fillId="3" borderId="0" xfId="0" applyNumberFormat="1" applyFont="1" applyFill="1" applyBorder="1" applyAlignment="1">
      <alignment/>
    </xf>
    <xf numFmtId="0" fontId="14" fillId="3" borderId="0" xfId="0" applyFont="1" applyFill="1" applyBorder="1" applyAlignment="1">
      <alignment/>
    </xf>
    <xf numFmtId="0" fontId="14" fillId="3" borderId="0" xfId="0" applyFont="1" applyFill="1" applyAlignment="1">
      <alignment/>
    </xf>
    <xf numFmtId="1" fontId="11" fillId="2" borderId="0" xfId="0" applyNumberFormat="1" applyFont="1" applyFill="1" applyAlignment="1">
      <alignment horizontal="center"/>
    </xf>
    <xf numFmtId="0" fontId="11" fillId="2" borderId="0" xfId="0" applyFont="1" applyFill="1" applyAlignment="1">
      <alignment horizontal="center"/>
    </xf>
    <xf numFmtId="1" fontId="11" fillId="2" borderId="0" xfId="0" applyNumberFormat="1" applyFont="1" applyFill="1" applyAlignment="1">
      <alignment horizontal="right"/>
    </xf>
    <xf numFmtId="0" fontId="0" fillId="0" borderId="0" xfId="0" applyFont="1" applyFill="1" applyBorder="1" applyAlignment="1">
      <alignment/>
    </xf>
    <xf numFmtId="1" fontId="1" fillId="0" borderId="0" xfId="0" applyNumberFormat="1" applyFont="1" applyAlignment="1">
      <alignment horizontal="right"/>
    </xf>
    <xf numFmtId="188" fontId="1" fillId="0" borderId="0" xfId="0" applyNumberFormat="1" applyFont="1" applyAlignment="1">
      <alignment/>
    </xf>
    <xf numFmtId="0" fontId="21" fillId="0" borderId="0" xfId="0" applyFont="1" applyAlignment="1">
      <alignment horizontal="center"/>
    </xf>
    <xf numFmtId="0" fontId="16" fillId="0" borderId="0" xfId="0" applyFont="1" applyAlignment="1">
      <alignment horizontal="center"/>
    </xf>
    <xf numFmtId="1" fontId="16" fillId="0" borderId="0" xfId="0" applyNumberFormat="1" applyFont="1" applyAlignment="1">
      <alignment horizontal="center"/>
    </xf>
    <xf numFmtId="0" fontId="0" fillId="0" borderId="0" xfId="0" applyAlignment="1">
      <alignment wrapText="1"/>
    </xf>
    <xf numFmtId="0" fontId="18" fillId="3" borderId="0" xfId="0" applyFont="1" applyFill="1" applyAlignment="1">
      <alignment horizontal="center"/>
    </xf>
    <xf numFmtId="1" fontId="18" fillId="3" borderId="0" xfId="0" applyNumberFormat="1" applyFont="1" applyFill="1" applyAlignment="1">
      <alignment horizontal="center"/>
    </xf>
    <xf numFmtId="1" fontId="0" fillId="1" borderId="1" xfId="0" applyNumberFormat="1" applyFill="1" applyBorder="1" applyAlignment="1">
      <alignment horizontal="center"/>
    </xf>
    <xf numFmtId="0" fontId="17" fillId="0" borderId="0" xfId="0" applyFont="1" applyFill="1" applyBorder="1" applyAlignment="1">
      <alignment/>
    </xf>
    <xf numFmtId="188" fontId="18" fillId="3" borderId="0" xfId="0" applyNumberFormat="1" applyFont="1" applyFill="1" applyAlignment="1">
      <alignment/>
    </xf>
    <xf numFmtId="0" fontId="18" fillId="3" borderId="0" xfId="0" applyFont="1" applyFill="1" applyAlignment="1">
      <alignment/>
    </xf>
    <xf numFmtId="0" fontId="0" fillId="1" borderId="1" xfId="0" applyFont="1" applyFill="1" applyBorder="1" applyAlignment="1">
      <alignment horizontal="center"/>
    </xf>
    <xf numFmtId="0" fontId="0" fillId="0" borderId="0" xfId="0" applyFont="1" applyAlignment="1">
      <alignment horizontal="center"/>
    </xf>
    <xf numFmtId="1" fontId="1" fillId="0" borderId="1" xfId="0" applyNumberFormat="1" applyFont="1" applyBorder="1" applyAlignment="1">
      <alignment horizontal="center"/>
    </xf>
    <xf numFmtId="188" fontId="18" fillId="0" borderId="0" xfId="0" applyNumberFormat="1" applyFont="1" applyAlignment="1">
      <alignment vertical="center"/>
    </xf>
    <xf numFmtId="0" fontId="3" fillId="0" borderId="0" xfId="0" applyFont="1" applyAlignment="1">
      <alignment wrapText="1"/>
    </xf>
    <xf numFmtId="0" fontId="18" fillId="0" borderId="0" xfId="0" applyFont="1" applyAlignment="1">
      <alignment wrapText="1"/>
    </xf>
    <xf numFmtId="0" fontId="0" fillId="0" borderId="9" xfId="0" applyBorder="1" applyAlignment="1">
      <alignment horizontal="center"/>
    </xf>
    <xf numFmtId="1" fontId="0" fillId="0" borderId="0" xfId="0" applyNumberFormat="1" applyAlignment="1">
      <alignment horizontal="left"/>
    </xf>
    <xf numFmtId="1" fontId="0" fillId="0" borderId="0" xfId="0" applyNumberFormat="1" applyAlignment="1">
      <alignment horizontal="right"/>
    </xf>
    <xf numFmtId="0" fontId="14" fillId="0" borderId="0" xfId="0" applyFont="1" applyFill="1" applyBorder="1" applyAlignment="1">
      <alignment horizontal="center"/>
    </xf>
    <xf numFmtId="1" fontId="20" fillId="0" borderId="0" xfId="0" applyNumberFormat="1" applyFont="1" applyFill="1" applyBorder="1" applyAlignment="1">
      <alignment horizontal="center"/>
    </xf>
    <xf numFmtId="188" fontId="17" fillId="0" borderId="0" xfId="0" applyNumberFormat="1" applyFont="1" applyFill="1" applyBorder="1" applyAlignment="1">
      <alignment/>
    </xf>
    <xf numFmtId="0" fontId="14" fillId="0" borderId="0" xfId="0" applyFont="1" applyFill="1" applyBorder="1" applyAlignment="1">
      <alignment/>
    </xf>
    <xf numFmtId="1" fontId="0" fillId="0" borderId="0" xfId="0" applyNumberFormat="1" applyAlignment="1">
      <alignment/>
    </xf>
    <xf numFmtId="1" fontId="10" fillId="2" borderId="0" xfId="0" applyNumberFormat="1" applyFont="1" applyFill="1" applyBorder="1" applyAlignment="1">
      <alignment/>
    </xf>
    <xf numFmtId="3" fontId="11" fillId="2" borderId="0" xfId="0" applyNumberFormat="1" applyFont="1" applyFill="1" applyAlignment="1">
      <alignment horizontal="right"/>
    </xf>
    <xf numFmtId="3" fontId="11" fillId="2" borderId="0" xfId="0" applyNumberFormat="1" applyFont="1" applyFill="1" applyBorder="1" applyAlignment="1">
      <alignment horizontal="right"/>
    </xf>
    <xf numFmtId="3" fontId="11" fillId="2" borderId="0" xfId="0" applyNumberFormat="1" applyFont="1" applyFill="1" applyAlignment="1">
      <alignment horizontal="left"/>
    </xf>
    <xf numFmtId="189" fontId="11" fillId="2" borderId="0" xfId="0" applyNumberFormat="1" applyFont="1" applyFill="1" applyAlignment="1">
      <alignment horizontal="right"/>
    </xf>
    <xf numFmtId="189" fontId="0" fillId="0" borderId="0" xfId="0" applyNumberFormat="1" applyAlignment="1">
      <alignment horizontal="center"/>
    </xf>
    <xf numFmtId="3" fontId="23" fillId="2" borderId="0" xfId="0" applyNumberFormat="1" applyFont="1" applyFill="1" applyAlignment="1">
      <alignment horizontal="right"/>
    </xf>
    <xf numFmtId="0" fontId="0" fillId="0" borderId="0" xfId="0" applyAlignment="1">
      <alignment/>
    </xf>
    <xf numFmtId="192" fontId="24" fillId="0" borderId="10" xfId="15" applyNumberFormat="1" applyFont="1" applyFill="1" applyBorder="1" applyAlignment="1">
      <alignment/>
    </xf>
    <xf numFmtId="192" fontId="0" fillId="0" borderId="0" xfId="15" applyNumberFormat="1" applyBorder="1" applyAlignment="1">
      <alignment/>
    </xf>
    <xf numFmtId="0" fontId="0" fillId="0" borderId="11" xfId="0" applyBorder="1" applyAlignment="1">
      <alignment/>
    </xf>
    <xf numFmtId="0" fontId="0" fillId="0" borderId="0" xfId="0" applyBorder="1" applyAlignment="1">
      <alignment/>
    </xf>
    <xf numFmtId="1" fontId="0" fillId="0" borderId="0" xfId="0" applyNumberFormat="1" applyBorder="1" applyAlignment="1">
      <alignment/>
    </xf>
    <xf numFmtId="193" fontId="0" fillId="0" borderId="12" xfId="15" applyNumberFormat="1" applyBorder="1" applyAlignment="1">
      <alignment/>
    </xf>
    <xf numFmtId="192" fontId="0" fillId="0" borderId="0" xfId="15" applyNumberFormat="1" applyFill="1" applyBorder="1" applyAlignment="1">
      <alignment wrapText="1"/>
    </xf>
    <xf numFmtId="191" fontId="0" fillId="0" borderId="0" xfId="0" applyNumberFormat="1" applyBorder="1" applyAlignment="1">
      <alignment/>
    </xf>
    <xf numFmtId="0" fontId="0" fillId="0" borderId="13" xfId="0" applyBorder="1" applyAlignment="1">
      <alignment/>
    </xf>
    <xf numFmtId="1" fontId="0" fillId="0" borderId="9" xfId="0" applyNumberFormat="1" applyBorder="1" applyAlignment="1">
      <alignment/>
    </xf>
    <xf numFmtId="0" fontId="24" fillId="0" borderId="0" xfId="0" applyFont="1" applyAlignment="1">
      <alignment/>
    </xf>
    <xf numFmtId="0" fontId="14" fillId="0" borderId="0" xfId="0" applyFont="1" applyAlignment="1">
      <alignment wrapText="1"/>
    </xf>
    <xf numFmtId="0" fontId="25" fillId="0" borderId="0" xfId="0" applyFont="1" applyAlignment="1">
      <alignment/>
    </xf>
    <xf numFmtId="185" fontId="0" fillId="0" borderId="11" xfId="15" applyBorder="1" applyAlignment="1">
      <alignment/>
    </xf>
    <xf numFmtId="191" fontId="0" fillId="0" borderId="0" xfId="15" applyNumberFormat="1" applyBorder="1" applyAlignment="1">
      <alignment/>
    </xf>
    <xf numFmtId="3" fontId="0" fillId="0" borderId="12" xfId="0" applyNumberFormat="1" applyBorder="1" applyAlignment="1">
      <alignment/>
    </xf>
    <xf numFmtId="0" fontId="0" fillId="0" borderId="0" xfId="0" applyBorder="1" applyAlignment="1">
      <alignment horizontal="center"/>
    </xf>
    <xf numFmtId="0" fontId="0" fillId="0" borderId="13" xfId="0" applyBorder="1" applyAlignment="1">
      <alignment horizontal="center"/>
    </xf>
    <xf numFmtId="186" fontId="0" fillId="0" borderId="11" xfId="0" applyNumberFormat="1" applyBorder="1" applyAlignment="1">
      <alignment/>
    </xf>
    <xf numFmtId="186" fontId="0" fillId="0" borderId="0" xfId="0" applyNumberFormat="1" applyBorder="1" applyAlignment="1">
      <alignment/>
    </xf>
    <xf numFmtId="192" fontId="0" fillId="0" borderId="13" xfId="15" applyNumberFormat="1" applyBorder="1" applyAlignment="1">
      <alignment/>
    </xf>
    <xf numFmtId="43" fontId="24" fillId="0" borderId="10" xfId="15" applyNumberFormat="1" applyFont="1" applyFill="1" applyBorder="1" applyAlignment="1">
      <alignment/>
    </xf>
    <xf numFmtId="191" fontId="0" fillId="0" borderId="14" xfId="0" applyNumberFormat="1" applyBorder="1" applyAlignment="1">
      <alignment/>
    </xf>
    <xf numFmtId="0" fontId="1" fillId="0" borderId="15" xfId="0" applyFont="1" applyBorder="1" applyAlignment="1">
      <alignment horizontal="center" wrapText="1"/>
    </xf>
    <xf numFmtId="0" fontId="1" fillId="0" borderId="14" xfId="0" applyFont="1" applyBorder="1" applyAlignment="1">
      <alignment horizontal="center" wrapText="1"/>
    </xf>
    <xf numFmtId="193" fontId="0" fillId="0" borderId="16" xfId="15" applyNumberFormat="1" applyBorder="1" applyAlignment="1">
      <alignment/>
    </xf>
    <xf numFmtId="192" fontId="0" fillId="0" borderId="14" xfId="15" applyNumberFormat="1" applyFill="1" applyBorder="1" applyAlignment="1">
      <alignment/>
    </xf>
    <xf numFmtId="185" fontId="1" fillId="0" borderId="17" xfId="15" applyFont="1" applyBorder="1" applyAlignment="1">
      <alignment/>
    </xf>
    <xf numFmtId="191" fontId="24" fillId="0" borderId="18" xfId="0" applyNumberFormat="1" applyFont="1" applyBorder="1" applyAlignment="1">
      <alignment horizontal="center" wrapText="1"/>
    </xf>
    <xf numFmtId="0" fontId="0" fillId="0" borderId="14" xfId="0" applyBorder="1" applyAlignment="1">
      <alignment/>
    </xf>
    <xf numFmtId="0" fontId="0" fillId="0" borderId="19" xfId="0" applyBorder="1" applyAlignment="1">
      <alignment/>
    </xf>
    <xf numFmtId="0" fontId="24" fillId="0" borderId="19" xfId="0" applyFont="1" applyBorder="1" applyAlignment="1">
      <alignment/>
    </xf>
    <xf numFmtId="0" fontId="24" fillId="0" borderId="20" xfId="0" applyFont="1" applyBorder="1" applyAlignment="1">
      <alignment horizontal="center" wrapText="1"/>
    </xf>
    <xf numFmtId="0" fontId="24" fillId="0" borderId="18" xfId="0" applyFont="1" applyBorder="1" applyAlignment="1">
      <alignment horizontal="center" wrapText="1"/>
    </xf>
    <xf numFmtId="0" fontId="24" fillId="0" borderId="21" xfId="0" applyFont="1" applyBorder="1" applyAlignment="1">
      <alignment horizontal="center"/>
    </xf>
    <xf numFmtId="0" fontId="24" fillId="0" borderId="17" xfId="0" applyFont="1" applyBorder="1" applyAlignment="1">
      <alignment horizontal="center" wrapText="1"/>
    </xf>
    <xf numFmtId="0" fontId="24" fillId="0" borderId="21" xfId="0" applyFont="1" applyBorder="1" applyAlignment="1">
      <alignment horizontal="center" wrapText="1"/>
    </xf>
    <xf numFmtId="0" fontId="24" fillId="0" borderId="22" xfId="0" applyFont="1" applyFill="1" applyBorder="1" applyAlignment="1">
      <alignment horizontal="center" wrapText="1"/>
    </xf>
    <xf numFmtId="0" fontId="24" fillId="0" borderId="0" xfId="0" applyFont="1" applyBorder="1" applyAlignment="1">
      <alignment horizontal="center" wrapText="1"/>
    </xf>
    <xf numFmtId="0" fontId="1" fillId="0" borderId="11" xfId="0" applyFont="1" applyBorder="1" applyAlignment="1">
      <alignment/>
    </xf>
    <xf numFmtId="193" fontId="24" fillId="0" borderId="12" xfId="15" applyNumberFormat="1" applyFont="1" applyBorder="1" applyAlignment="1">
      <alignment horizontal="center" wrapText="1"/>
    </xf>
    <xf numFmtId="192" fontId="24" fillId="0" borderId="0" xfId="15" applyNumberFormat="1" applyFont="1" applyBorder="1" applyAlignment="1">
      <alignment horizontal="center" wrapText="1"/>
    </xf>
    <xf numFmtId="3" fontId="0" fillId="0" borderId="0" xfId="0" applyNumberFormat="1" applyBorder="1" applyAlignment="1">
      <alignment/>
    </xf>
    <xf numFmtId="185" fontId="0" fillId="0" borderId="13" xfId="15" applyBorder="1" applyAlignment="1">
      <alignment/>
    </xf>
    <xf numFmtId="185" fontId="24" fillId="0" borderId="10" xfId="15" applyFont="1" applyFill="1" applyBorder="1" applyAlignment="1">
      <alignment/>
    </xf>
    <xf numFmtId="185" fontId="0" fillId="0" borderId="0" xfId="15" applyBorder="1" applyAlignment="1">
      <alignment/>
    </xf>
    <xf numFmtId="0" fontId="0" fillId="0" borderId="11" xfId="0" applyFont="1" applyBorder="1" applyAlignment="1">
      <alignment/>
    </xf>
    <xf numFmtId="187" fontId="0" fillId="0" borderId="0" xfId="0" applyNumberFormat="1" applyBorder="1" applyAlignment="1">
      <alignment/>
    </xf>
    <xf numFmtId="190" fontId="0" fillId="0" borderId="0" xfId="15" applyNumberFormat="1" applyFill="1" applyBorder="1" applyAlignment="1">
      <alignment wrapText="1"/>
    </xf>
    <xf numFmtId="185" fontId="0" fillId="0" borderId="11" xfId="15" applyFont="1" applyBorder="1" applyAlignment="1">
      <alignment/>
    </xf>
    <xf numFmtId="185" fontId="24" fillId="0" borderId="11" xfId="15" applyFont="1" applyBorder="1" applyAlignment="1">
      <alignment/>
    </xf>
    <xf numFmtId="0" fontId="24" fillId="0" borderId="10" xfId="0" applyFont="1" applyFill="1" applyBorder="1" applyAlignment="1">
      <alignment/>
    </xf>
    <xf numFmtId="0" fontId="24" fillId="0" borderId="11" xfId="0" applyFont="1" applyBorder="1" applyAlignment="1">
      <alignment horizontal="center" wrapText="1"/>
    </xf>
    <xf numFmtId="0" fontId="24" fillId="0" borderId="13" xfId="0" applyFont="1" applyBorder="1" applyAlignment="1">
      <alignment horizontal="center" wrapText="1"/>
    </xf>
    <xf numFmtId="0" fontId="24" fillId="0" borderId="10" xfId="0" applyFont="1" applyFill="1" applyBorder="1" applyAlignment="1">
      <alignment horizontal="center" wrapText="1"/>
    </xf>
    <xf numFmtId="186" fontId="24" fillId="0" borderId="11" xfId="0" applyNumberFormat="1" applyFont="1" applyBorder="1" applyAlignment="1">
      <alignment/>
    </xf>
    <xf numFmtId="43" fontId="24" fillId="0" borderId="0" xfId="0" applyNumberFormat="1" applyFont="1" applyBorder="1" applyAlignment="1">
      <alignment/>
    </xf>
    <xf numFmtId="192" fontId="24" fillId="0" borderId="13" xfId="15" applyNumberFormat="1" applyFont="1" applyBorder="1" applyAlignment="1">
      <alignment/>
    </xf>
    <xf numFmtId="3" fontId="0" fillId="0" borderId="0" xfId="0" applyNumberFormat="1" applyBorder="1" applyAlignment="1">
      <alignment horizontal="center"/>
    </xf>
    <xf numFmtId="0" fontId="0" fillId="0" borderId="15" xfId="0" applyBorder="1" applyAlignment="1">
      <alignment/>
    </xf>
    <xf numFmtId="0" fontId="0" fillId="0" borderId="23" xfId="0" applyBorder="1" applyAlignment="1">
      <alignment/>
    </xf>
    <xf numFmtId="0" fontId="24" fillId="0" borderId="24" xfId="0" applyFont="1" applyFill="1" applyBorder="1" applyAlignment="1">
      <alignment/>
    </xf>
    <xf numFmtId="190" fontId="0" fillId="0" borderId="0" xfId="15" applyNumberFormat="1" applyFill="1" applyBorder="1" applyAlignment="1">
      <alignment/>
    </xf>
    <xf numFmtId="0" fontId="24" fillId="0" borderId="18" xfId="0" applyFont="1" applyBorder="1" applyAlignment="1">
      <alignment horizontal="center"/>
    </xf>
    <xf numFmtId="0" fontId="1" fillId="0" borderId="17" xfId="0" applyFont="1" applyBorder="1" applyAlignment="1">
      <alignment wrapText="1"/>
    </xf>
    <xf numFmtId="0" fontId="0" fillId="0" borderId="18" xfId="0" applyBorder="1" applyAlignment="1">
      <alignment/>
    </xf>
    <xf numFmtId="0" fontId="24" fillId="0" borderId="18" xfId="0" applyFont="1" applyBorder="1" applyAlignment="1">
      <alignment wrapText="1"/>
    </xf>
    <xf numFmtId="193" fontId="24" fillId="0" borderId="20" xfId="15" applyNumberFormat="1" applyFont="1" applyBorder="1" applyAlignment="1">
      <alignment horizontal="center" wrapText="1"/>
    </xf>
    <xf numFmtId="190" fontId="24" fillId="0" borderId="18" xfId="15" applyNumberFormat="1" applyFont="1" applyBorder="1" applyAlignment="1">
      <alignment horizontal="center" wrapText="1"/>
    </xf>
    <xf numFmtId="0" fontId="0" fillId="0" borderId="12" xfId="0" applyBorder="1" applyAlignment="1">
      <alignment horizontal="center"/>
    </xf>
    <xf numFmtId="190" fontId="0" fillId="0" borderId="13" xfId="15" applyNumberFormat="1" applyBorder="1" applyAlignment="1">
      <alignment/>
    </xf>
    <xf numFmtId="190" fontId="24" fillId="0" borderId="10" xfId="15" applyNumberFormat="1" applyFont="1" applyFill="1" applyBorder="1" applyAlignment="1">
      <alignment/>
    </xf>
    <xf numFmtId="190" fontId="0" fillId="0" borderId="0" xfId="15" applyNumberFormat="1" applyBorder="1" applyAlignment="1">
      <alignment/>
    </xf>
    <xf numFmtId="185" fontId="0" fillId="0" borderId="11" xfId="15" applyFont="1" applyBorder="1" applyAlignment="1">
      <alignment/>
    </xf>
    <xf numFmtId="0" fontId="0" fillId="0" borderId="0" xfId="0" applyBorder="1" applyAlignment="1">
      <alignment horizontal="right"/>
    </xf>
    <xf numFmtId="0" fontId="0" fillId="0" borderId="13" xfId="0" applyBorder="1" applyAlignment="1">
      <alignment horizontal="right"/>
    </xf>
    <xf numFmtId="43" fontId="24" fillId="0" borderId="10" xfId="0" applyNumberFormat="1" applyFont="1" applyFill="1" applyBorder="1" applyAlignment="1">
      <alignment/>
    </xf>
    <xf numFmtId="192" fontId="0" fillId="0" borderId="0" xfId="15" applyNumberFormat="1" applyFill="1" applyBorder="1" applyAlignment="1">
      <alignment/>
    </xf>
    <xf numFmtId="43" fontId="0" fillId="0" borderId="0" xfId="15" applyNumberFormat="1" applyBorder="1" applyAlignment="1">
      <alignment/>
    </xf>
    <xf numFmtId="185" fontId="0" fillId="0" borderId="25" xfId="15" applyBorder="1" applyAlignment="1">
      <alignment/>
    </xf>
    <xf numFmtId="0" fontId="0" fillId="0" borderId="26" xfId="0" applyBorder="1" applyAlignment="1">
      <alignment/>
    </xf>
    <xf numFmtId="3" fontId="0" fillId="0" borderId="27" xfId="0" applyNumberFormat="1" applyBorder="1" applyAlignment="1">
      <alignment/>
    </xf>
    <xf numFmtId="0" fontId="0" fillId="0" borderId="26" xfId="0" applyBorder="1" applyAlignment="1">
      <alignment horizontal="center"/>
    </xf>
    <xf numFmtId="0" fontId="0" fillId="0" borderId="28" xfId="0" applyBorder="1" applyAlignment="1">
      <alignment horizontal="center"/>
    </xf>
    <xf numFmtId="0" fontId="0" fillId="0" borderId="25" xfId="0" applyBorder="1" applyAlignment="1">
      <alignment/>
    </xf>
    <xf numFmtId="0" fontId="0" fillId="0" borderId="26" xfId="0" applyBorder="1" applyAlignment="1">
      <alignment/>
    </xf>
    <xf numFmtId="185" fontId="0" fillId="0" borderId="28" xfId="15" applyBorder="1" applyAlignment="1">
      <alignment/>
    </xf>
    <xf numFmtId="185" fontId="24" fillId="0" borderId="24" xfId="15" applyFont="1" applyFill="1" applyBorder="1" applyAlignment="1">
      <alignment/>
    </xf>
    <xf numFmtId="193" fontId="0" fillId="0" borderId="27" xfId="15" applyNumberFormat="1" applyBorder="1" applyAlignment="1">
      <alignment/>
    </xf>
    <xf numFmtId="192" fontId="0" fillId="0" borderId="26" xfId="15" applyNumberFormat="1" applyFill="1" applyBorder="1" applyAlignment="1">
      <alignment/>
    </xf>
    <xf numFmtId="185" fontId="0" fillId="0" borderId="0" xfId="15" applyAlignment="1">
      <alignment/>
    </xf>
    <xf numFmtId="0" fontId="0" fillId="0" borderId="0" xfId="0" applyFill="1" applyBorder="1" applyAlignment="1">
      <alignment/>
    </xf>
    <xf numFmtId="193" fontId="0" fillId="0" borderId="0" xfId="15" applyNumberFormat="1" applyAlignment="1">
      <alignment/>
    </xf>
    <xf numFmtId="192" fontId="0" fillId="0" borderId="0" xfId="15" applyNumberFormat="1" applyFill="1" applyAlignment="1">
      <alignment/>
    </xf>
    <xf numFmtId="185" fontId="0" fillId="0" borderId="20" xfId="15" applyBorder="1" applyAlignment="1">
      <alignment horizontal="right"/>
    </xf>
    <xf numFmtId="0" fontId="24" fillId="0" borderId="18" xfId="0" applyFont="1" applyBorder="1" applyAlignment="1">
      <alignment/>
    </xf>
    <xf numFmtId="0" fontId="24" fillId="0" borderId="29" xfId="0" applyFont="1" applyBorder="1" applyAlignment="1">
      <alignment/>
    </xf>
    <xf numFmtId="0" fontId="24" fillId="0" borderId="0" xfId="0" applyFont="1" applyBorder="1" applyAlignment="1">
      <alignment/>
    </xf>
    <xf numFmtId="190" fontId="0" fillId="0" borderId="20" xfId="15" applyNumberFormat="1" applyFill="1" applyBorder="1" applyAlignment="1">
      <alignment/>
    </xf>
    <xf numFmtId="190" fontId="0" fillId="0" borderId="18" xfId="15" applyNumberFormat="1" applyBorder="1" applyAlignment="1">
      <alignment wrapText="1"/>
    </xf>
    <xf numFmtId="193" fontId="0" fillId="0" borderId="29" xfId="15" applyNumberFormat="1" applyFill="1" applyBorder="1" applyAlignment="1">
      <alignment/>
    </xf>
    <xf numFmtId="185" fontId="0" fillId="0" borderId="12" xfId="15" applyBorder="1" applyAlignment="1">
      <alignment/>
    </xf>
    <xf numFmtId="0" fontId="0" fillId="0" borderId="9" xfId="0" applyBorder="1" applyAlignment="1">
      <alignment/>
    </xf>
    <xf numFmtId="190" fontId="0" fillId="0" borderId="12" xfId="15" applyNumberFormat="1" applyFill="1" applyBorder="1" applyAlignment="1">
      <alignment/>
    </xf>
    <xf numFmtId="193" fontId="0" fillId="0" borderId="9" xfId="15" applyNumberFormat="1" applyFill="1" applyBorder="1" applyAlignment="1">
      <alignment/>
    </xf>
    <xf numFmtId="11" fontId="0" fillId="0" borderId="0" xfId="0" applyNumberFormat="1" applyBorder="1" applyAlignment="1">
      <alignment/>
    </xf>
    <xf numFmtId="11" fontId="0" fillId="0" borderId="9" xfId="0" applyNumberFormat="1" applyBorder="1" applyAlignment="1">
      <alignment/>
    </xf>
    <xf numFmtId="190" fontId="0" fillId="0" borderId="16" xfId="15" applyNumberFormat="1" applyFont="1" applyFill="1" applyBorder="1" applyAlignment="1">
      <alignment/>
    </xf>
    <xf numFmtId="190" fontId="0" fillId="0" borderId="14" xfId="15" applyNumberFormat="1" applyFill="1" applyBorder="1" applyAlignment="1">
      <alignment/>
    </xf>
    <xf numFmtId="193" fontId="0" fillId="0" borderId="30" xfId="15" applyNumberFormat="1" applyFill="1" applyBorder="1" applyAlignment="1">
      <alignment/>
    </xf>
    <xf numFmtId="192" fontId="0" fillId="0" borderId="0" xfId="15" applyNumberFormat="1" applyAlignment="1">
      <alignment/>
    </xf>
    <xf numFmtId="194" fontId="0" fillId="0" borderId="0" xfId="0" applyNumberFormat="1" applyBorder="1" applyAlignment="1">
      <alignment/>
    </xf>
    <xf numFmtId="0" fontId="0" fillId="0" borderId="20" xfId="0" applyFill="1" applyBorder="1" applyAlignment="1">
      <alignment/>
    </xf>
    <xf numFmtId="0" fontId="0" fillId="0" borderId="12" xfId="0" applyBorder="1" applyAlignment="1">
      <alignment/>
    </xf>
    <xf numFmtId="193" fontId="0" fillId="0" borderId="9" xfId="15" applyNumberFormat="1" applyBorder="1" applyAlignment="1">
      <alignment/>
    </xf>
    <xf numFmtId="0" fontId="0" fillId="0" borderId="16" xfId="0" applyBorder="1" applyAlignment="1">
      <alignment/>
    </xf>
    <xf numFmtId="190" fontId="0" fillId="0" borderId="14" xfId="15" applyNumberFormat="1" applyBorder="1" applyAlignment="1">
      <alignment/>
    </xf>
    <xf numFmtId="193" fontId="0" fillId="0" borderId="30" xfId="15" applyNumberFormat="1" applyBorder="1" applyAlignment="1">
      <alignment/>
    </xf>
    <xf numFmtId="185" fontId="0" fillId="0" borderId="16" xfId="15" applyBorder="1" applyAlignment="1">
      <alignment/>
    </xf>
    <xf numFmtId="11" fontId="0" fillId="0" borderId="14" xfId="0" applyNumberFormat="1" applyBorder="1" applyAlignment="1">
      <alignment/>
    </xf>
    <xf numFmtId="194" fontId="0" fillId="0" borderId="14" xfId="0" applyNumberFormat="1" applyBorder="1" applyAlignment="1">
      <alignment/>
    </xf>
    <xf numFmtId="0" fontId="0" fillId="0" borderId="30" xfId="0" applyBorder="1" applyAlignment="1">
      <alignment/>
    </xf>
    <xf numFmtId="190" fontId="0" fillId="0" borderId="0" xfId="15" applyNumberFormat="1" applyAlignment="1">
      <alignment/>
    </xf>
    <xf numFmtId="192" fontId="0" fillId="0" borderId="20" xfId="15" applyNumberFormat="1" applyFill="1" applyBorder="1" applyAlignment="1">
      <alignment/>
    </xf>
    <xf numFmtId="190" fontId="0" fillId="0" borderId="18" xfId="15" applyNumberFormat="1" applyFill="1" applyBorder="1" applyAlignment="1">
      <alignment/>
    </xf>
    <xf numFmtId="192" fontId="0" fillId="0" borderId="29" xfId="15" applyNumberFormat="1" applyFill="1" applyBorder="1" applyAlignment="1">
      <alignment/>
    </xf>
    <xf numFmtId="192" fontId="0" fillId="0" borderId="12" xfId="15" applyNumberFormat="1" applyFont="1" applyFill="1" applyBorder="1" applyAlignment="1">
      <alignment/>
    </xf>
    <xf numFmtId="192" fontId="0" fillId="0" borderId="9" xfId="15" applyNumberFormat="1" applyFill="1" applyBorder="1" applyAlignment="1">
      <alignment/>
    </xf>
    <xf numFmtId="192" fontId="0" fillId="0" borderId="16" xfId="15" applyNumberFormat="1" applyFill="1" applyBorder="1" applyAlignment="1">
      <alignment/>
    </xf>
    <xf numFmtId="192" fontId="0" fillId="0" borderId="30" xfId="15" applyNumberFormat="1" applyFill="1" applyBorder="1" applyAlignment="1">
      <alignment/>
    </xf>
    <xf numFmtId="192" fontId="0" fillId="0" borderId="12" xfId="15" applyNumberFormat="1" applyFill="1" applyBorder="1" applyAlignment="1">
      <alignment/>
    </xf>
    <xf numFmtId="195" fontId="0" fillId="0" borderId="0" xfId="15" applyNumberFormat="1" applyFill="1" applyBorder="1" applyAlignment="1">
      <alignment/>
    </xf>
    <xf numFmtId="0" fontId="0" fillId="0" borderId="2" xfId="0" applyBorder="1" applyAlignment="1">
      <alignment/>
    </xf>
    <xf numFmtId="0" fontId="0" fillId="0" borderId="19" xfId="0" applyBorder="1" applyAlignment="1">
      <alignment/>
    </xf>
    <xf numFmtId="0" fontId="0" fillId="0" borderId="31" xfId="0" applyBorder="1" applyAlignment="1">
      <alignment/>
    </xf>
    <xf numFmtId="0" fontId="0" fillId="0" borderId="20" xfId="0" applyBorder="1" applyAlignment="1">
      <alignment/>
    </xf>
    <xf numFmtId="195" fontId="0" fillId="0" borderId="18" xfId="15" applyNumberFormat="1" applyBorder="1" applyAlignment="1">
      <alignment/>
    </xf>
    <xf numFmtId="0" fontId="0" fillId="0" borderId="29" xfId="0" applyBorder="1" applyAlignment="1">
      <alignment/>
    </xf>
    <xf numFmtId="195" fontId="0" fillId="0" borderId="0" xfId="15" applyNumberFormat="1" applyBorder="1" applyAlignment="1">
      <alignment/>
    </xf>
    <xf numFmtId="0" fontId="0" fillId="0" borderId="9" xfId="0" applyBorder="1" applyAlignment="1">
      <alignment/>
    </xf>
    <xf numFmtId="195" fontId="0" fillId="0" borderId="14" xfId="15" applyNumberFormat="1" applyBorder="1" applyAlignment="1">
      <alignment/>
    </xf>
    <xf numFmtId="0" fontId="0" fillId="0" borderId="30" xfId="0" applyBorder="1" applyAlignment="1">
      <alignment/>
    </xf>
    <xf numFmtId="185" fontId="9" fillId="4" borderId="32" xfId="15" applyFont="1" applyFill="1" applyBorder="1" applyAlignment="1">
      <alignment/>
    </xf>
    <xf numFmtId="0" fontId="9" fillId="4" borderId="33" xfId="0" applyFont="1" applyFill="1" applyBorder="1" applyAlignment="1">
      <alignment/>
    </xf>
    <xf numFmtId="0" fontId="9" fillId="4" borderId="34" xfId="0" applyFont="1" applyFill="1" applyBorder="1" applyAlignment="1">
      <alignment/>
    </xf>
    <xf numFmtId="0" fontId="27" fillId="0" borderId="22" xfId="0" applyFont="1" applyFill="1" applyBorder="1" applyAlignment="1">
      <alignment/>
    </xf>
    <xf numFmtId="0" fontId="9" fillId="4" borderId="32" xfId="0" applyFont="1" applyFill="1" applyBorder="1" applyAlignment="1">
      <alignment/>
    </xf>
    <xf numFmtId="193" fontId="9" fillId="4" borderId="33" xfId="15" applyNumberFormat="1" applyFont="1" applyFill="1" applyBorder="1" applyAlignment="1">
      <alignment/>
    </xf>
    <xf numFmtId="192" fontId="9" fillId="4" borderId="34" xfId="15" applyNumberFormat="1" applyFont="1" applyFill="1" applyBorder="1" applyAlignment="1">
      <alignment/>
    </xf>
    <xf numFmtId="192" fontId="0" fillId="4" borderId="0" xfId="15" applyNumberFormat="1" applyFill="1" applyAlignment="1">
      <alignment/>
    </xf>
    <xf numFmtId="0" fontId="1" fillId="0" borderId="35" xfId="0" applyFont="1" applyBorder="1" applyAlignment="1">
      <alignment horizontal="center" wrapText="1"/>
    </xf>
    <xf numFmtId="0" fontId="1" fillId="0" borderId="0" xfId="0" applyFont="1" applyBorder="1" applyAlignment="1">
      <alignment/>
    </xf>
    <xf numFmtId="0" fontId="0" fillId="0" borderId="36" xfId="0" applyBorder="1" applyAlignment="1">
      <alignment/>
    </xf>
    <xf numFmtId="0" fontId="1" fillId="0" borderId="37" xfId="0" applyFont="1" applyBorder="1" applyAlignment="1">
      <alignment horizontal="center"/>
    </xf>
    <xf numFmtId="0" fontId="1" fillId="0" borderId="38" xfId="0" applyFont="1" applyBorder="1" applyAlignment="1">
      <alignment horizontal="centerContinuous"/>
    </xf>
    <xf numFmtId="0" fontId="1" fillId="0" borderId="35" xfId="0" applyFont="1" applyBorder="1" applyAlignment="1">
      <alignment horizontal="center"/>
    </xf>
    <xf numFmtId="0" fontId="1" fillId="0" borderId="38" xfId="0" applyFont="1" applyBorder="1" applyAlignment="1">
      <alignment horizontal="center"/>
    </xf>
    <xf numFmtId="0" fontId="27" fillId="0" borderId="10" xfId="0" applyFont="1" applyFill="1" applyBorder="1" applyAlignment="1">
      <alignment horizontal="centerContinuous"/>
    </xf>
    <xf numFmtId="0" fontId="1" fillId="0" borderId="0" xfId="0" applyFont="1" applyBorder="1" applyAlignment="1">
      <alignment horizontal="center"/>
    </xf>
    <xf numFmtId="0" fontId="1" fillId="0" borderId="39" xfId="0" applyFont="1" applyBorder="1" applyAlignment="1">
      <alignment horizontal="center" wrapText="1"/>
    </xf>
    <xf numFmtId="0" fontId="1" fillId="0" borderId="12" xfId="0" applyFont="1" applyBorder="1" applyAlignment="1">
      <alignment horizontal="center"/>
    </xf>
    <xf numFmtId="0" fontId="1" fillId="0" borderId="13" xfId="0" applyFont="1" applyBorder="1" applyAlignment="1">
      <alignment horizontal="center"/>
    </xf>
    <xf numFmtId="192" fontId="0" fillId="0" borderId="13" xfId="15" applyNumberFormat="1" applyFill="1" applyBorder="1" applyAlignment="1">
      <alignment/>
    </xf>
    <xf numFmtId="0" fontId="24" fillId="0" borderId="12" xfId="0" applyFont="1" applyBorder="1" applyAlignment="1">
      <alignment/>
    </xf>
    <xf numFmtId="0" fontId="24" fillId="0" borderId="40" xfId="0" applyFont="1" applyFill="1" applyBorder="1" applyAlignment="1">
      <alignment/>
    </xf>
    <xf numFmtId="0" fontId="1" fillId="0" borderId="20" xfId="0" applyFont="1" applyBorder="1" applyAlignment="1">
      <alignment horizontal="center"/>
    </xf>
    <xf numFmtId="0" fontId="1" fillId="0" borderId="18" xfId="0" applyFont="1" applyBorder="1" applyAlignment="1">
      <alignment horizontal="center"/>
    </xf>
    <xf numFmtId="0" fontId="1" fillId="0" borderId="21" xfId="0" applyFont="1" applyBorder="1" applyAlignment="1">
      <alignment/>
    </xf>
    <xf numFmtId="0" fontId="0" fillId="0" borderId="17" xfId="0" applyBorder="1" applyAlignment="1">
      <alignment/>
    </xf>
    <xf numFmtId="193" fontId="0" fillId="0" borderId="20" xfId="15" applyNumberFormat="1" applyBorder="1" applyAlignment="1">
      <alignment/>
    </xf>
    <xf numFmtId="192" fontId="0" fillId="0" borderId="18" xfId="15" applyNumberFormat="1" applyFill="1" applyBorder="1" applyAlignment="1">
      <alignment/>
    </xf>
    <xf numFmtId="192" fontId="0" fillId="0" borderId="21" xfId="15" applyNumberFormat="1" applyFill="1" applyBorder="1" applyAlignment="1">
      <alignment/>
    </xf>
    <xf numFmtId="196" fontId="0" fillId="0" borderId="11" xfId="0" applyNumberFormat="1" applyBorder="1" applyAlignment="1">
      <alignment/>
    </xf>
    <xf numFmtId="185" fontId="0" fillId="0" borderId="15" xfId="15" applyFont="1" applyBorder="1" applyAlignment="1">
      <alignment/>
    </xf>
    <xf numFmtId="0" fontId="1" fillId="0" borderId="16" xfId="0" applyFont="1" applyBorder="1" applyAlignment="1">
      <alignment horizontal="center"/>
    </xf>
    <xf numFmtId="0" fontId="1" fillId="0" borderId="14" xfId="0" applyFont="1" applyBorder="1" applyAlignment="1">
      <alignment horizontal="center"/>
    </xf>
    <xf numFmtId="0" fontId="1" fillId="0" borderId="23" xfId="0" applyFont="1" applyBorder="1" applyAlignment="1">
      <alignment/>
    </xf>
    <xf numFmtId="186" fontId="0" fillId="0" borderId="15" xfId="0" applyNumberFormat="1" applyBorder="1" applyAlignment="1">
      <alignment/>
    </xf>
    <xf numFmtId="186" fontId="0" fillId="0" borderId="14" xfId="0" applyNumberFormat="1" applyBorder="1" applyAlignment="1">
      <alignment/>
    </xf>
    <xf numFmtId="192" fontId="0" fillId="0" borderId="23" xfId="15" applyNumberFormat="1" applyBorder="1" applyAlignment="1">
      <alignment/>
    </xf>
    <xf numFmtId="185" fontId="1" fillId="0" borderId="11" xfId="15" applyFont="1" applyBorder="1" applyAlignment="1">
      <alignment/>
    </xf>
    <xf numFmtId="0" fontId="1" fillId="0" borderId="13" xfId="0" applyFont="1" applyBorder="1" applyAlignment="1">
      <alignment/>
    </xf>
    <xf numFmtId="0" fontId="0" fillId="0" borderId="41" xfId="0" applyBorder="1" applyAlignment="1">
      <alignment/>
    </xf>
    <xf numFmtId="0" fontId="24" fillId="0" borderId="1" xfId="0" applyFont="1" applyFill="1" applyBorder="1" applyAlignment="1">
      <alignment/>
    </xf>
    <xf numFmtId="192" fontId="0" fillId="0" borderId="23" xfId="15" applyNumberFormat="1" applyFill="1" applyBorder="1" applyAlignment="1">
      <alignment/>
    </xf>
    <xf numFmtId="185" fontId="1" fillId="0" borderId="17" xfId="15" applyFont="1" applyBorder="1" applyAlignment="1">
      <alignment wrapText="1"/>
    </xf>
    <xf numFmtId="0" fontId="0" fillId="0" borderId="18" xfId="0" applyFont="1" applyBorder="1" applyAlignment="1">
      <alignment wrapText="1"/>
    </xf>
    <xf numFmtId="192" fontId="24" fillId="0" borderId="18" xfId="15" applyNumberFormat="1" applyFont="1" applyBorder="1" applyAlignment="1">
      <alignment horizontal="center" wrapText="1"/>
    </xf>
    <xf numFmtId="192" fontId="24" fillId="0" borderId="18" xfId="15" applyNumberFormat="1" applyFont="1" applyFill="1" applyBorder="1" applyAlignment="1">
      <alignment horizontal="center" wrapText="1"/>
    </xf>
    <xf numFmtId="192" fontId="24" fillId="0" borderId="21" xfId="15" applyNumberFormat="1" applyFont="1" applyFill="1" applyBorder="1" applyAlignment="1">
      <alignment horizontal="center" wrapText="1"/>
    </xf>
    <xf numFmtId="196" fontId="0" fillId="0" borderId="11" xfId="0" applyNumberFormat="1" applyBorder="1" applyAlignment="1">
      <alignment wrapText="1"/>
    </xf>
    <xf numFmtId="3" fontId="0" fillId="0" borderId="13" xfId="0" applyNumberFormat="1" applyBorder="1" applyAlignment="1">
      <alignment horizontal="center"/>
    </xf>
    <xf numFmtId="192" fontId="0" fillId="0" borderId="0" xfId="15" applyNumberFormat="1" applyFill="1" applyBorder="1" applyAlignment="1">
      <alignment horizontal="right" wrapText="1"/>
    </xf>
    <xf numFmtId="192" fontId="0" fillId="0" borderId="13" xfId="15" applyNumberFormat="1" applyFill="1" applyBorder="1" applyAlignment="1">
      <alignment horizontal="center" wrapText="1"/>
    </xf>
    <xf numFmtId="192" fontId="24" fillId="0" borderId="0" xfId="15" applyNumberFormat="1" applyFont="1" applyFill="1" applyBorder="1" applyAlignment="1">
      <alignment horizontal="center" wrapText="1"/>
    </xf>
    <xf numFmtId="192" fontId="24" fillId="0" borderId="13" xfId="15" applyNumberFormat="1" applyFont="1" applyFill="1" applyBorder="1" applyAlignment="1">
      <alignment horizontal="center" wrapText="1"/>
    </xf>
    <xf numFmtId="43" fontId="0" fillId="0" borderId="11" xfId="0" applyNumberFormat="1" applyBorder="1" applyAlignment="1">
      <alignment/>
    </xf>
    <xf numFmtId="192" fontId="0" fillId="0" borderId="13" xfId="15" applyNumberFormat="1" applyFill="1" applyBorder="1" applyAlignment="1">
      <alignment wrapText="1"/>
    </xf>
    <xf numFmtId="192" fontId="0" fillId="0" borderId="28" xfId="15" applyNumberFormat="1" applyFill="1" applyBorder="1" applyAlignment="1">
      <alignment/>
    </xf>
    <xf numFmtId="0" fontId="0" fillId="5" borderId="0" xfId="0" applyFill="1" applyAlignment="1">
      <alignment/>
    </xf>
    <xf numFmtId="0" fontId="0" fillId="0" borderId="42" xfId="0" applyBorder="1" applyAlignment="1">
      <alignment/>
    </xf>
    <xf numFmtId="0" fontId="27" fillId="0" borderId="42" xfId="0" applyFont="1" applyBorder="1" applyAlignment="1">
      <alignment/>
    </xf>
    <xf numFmtId="0" fontId="0" fillId="0" borderId="42" xfId="0" applyBorder="1" applyAlignment="1">
      <alignment horizontal="center"/>
    </xf>
    <xf numFmtId="0" fontId="27" fillId="0" borderId="0" xfId="0" applyFont="1" applyAlignment="1">
      <alignment/>
    </xf>
    <xf numFmtId="0" fontId="27" fillId="5" borderId="42" xfId="0" applyFont="1" applyFill="1" applyBorder="1" applyAlignment="1">
      <alignment/>
    </xf>
    <xf numFmtId="0" fontId="24" fillId="0" borderId="2" xfId="0" applyFont="1" applyBorder="1" applyAlignment="1">
      <alignment wrapText="1"/>
    </xf>
    <xf numFmtId="0" fontId="24" fillId="0" borderId="19" xfId="0" applyFont="1" applyBorder="1" applyAlignment="1">
      <alignment wrapText="1"/>
    </xf>
    <xf numFmtId="0" fontId="24" fillId="0" borderId="19" xfId="0" applyFont="1" applyBorder="1" applyAlignment="1">
      <alignment horizontal="center" wrapText="1"/>
    </xf>
    <xf numFmtId="0" fontId="24" fillId="0" borderId="31" xfId="0" applyFont="1" applyBorder="1" applyAlignment="1">
      <alignment wrapText="1"/>
    </xf>
    <xf numFmtId="0" fontId="0" fillId="0" borderId="12" xfId="0" applyBorder="1" applyAlignment="1">
      <alignment/>
    </xf>
    <xf numFmtId="0" fontId="0" fillId="6" borderId="0" xfId="0" applyFill="1" applyAlignment="1">
      <alignment/>
    </xf>
    <xf numFmtId="0" fontId="24" fillId="5" borderId="9" xfId="0" applyFont="1" applyFill="1" applyBorder="1" applyAlignment="1">
      <alignment horizontal="center"/>
    </xf>
    <xf numFmtId="0" fontId="0" fillId="0" borderId="20" xfId="0" applyBorder="1" applyAlignment="1">
      <alignment/>
    </xf>
    <xf numFmtId="0" fontId="0" fillId="6" borderId="18" xfId="0" applyFill="1" applyBorder="1" applyAlignment="1">
      <alignment/>
    </xf>
    <xf numFmtId="0" fontId="0" fillId="0" borderId="18" xfId="0" applyBorder="1" applyAlignment="1">
      <alignment/>
    </xf>
    <xf numFmtId="0" fontId="0" fillId="0" borderId="18" xfId="0" applyBorder="1" applyAlignment="1">
      <alignment horizontal="center"/>
    </xf>
    <xf numFmtId="0" fontId="24" fillId="5" borderId="29" xfId="0" applyFont="1" applyFill="1" applyBorder="1" applyAlignment="1">
      <alignment horizontal="center"/>
    </xf>
    <xf numFmtId="0" fontId="0" fillId="0" borderId="16" xfId="0" applyBorder="1" applyAlignment="1">
      <alignment/>
    </xf>
    <xf numFmtId="0" fontId="0" fillId="6" borderId="14" xfId="0" applyFill="1" applyBorder="1" applyAlignment="1">
      <alignment/>
    </xf>
    <xf numFmtId="0" fontId="0" fillId="0" borderId="14" xfId="0" applyBorder="1" applyAlignment="1">
      <alignment/>
    </xf>
    <xf numFmtId="0" fontId="0" fillId="0" borderId="14" xfId="0" applyBorder="1" applyAlignment="1">
      <alignment horizontal="center"/>
    </xf>
    <xf numFmtId="0" fontId="24" fillId="5" borderId="30" xfId="0" applyFont="1" applyFill="1" applyBorder="1" applyAlignment="1">
      <alignment horizontal="center"/>
    </xf>
    <xf numFmtId="2" fontId="0" fillId="0" borderId="14" xfId="0" applyNumberFormat="1" applyBorder="1" applyAlignment="1">
      <alignment/>
    </xf>
    <xf numFmtId="0" fontId="0" fillId="0" borderId="2" xfId="0" applyBorder="1" applyAlignment="1">
      <alignment/>
    </xf>
    <xf numFmtId="0" fontId="1" fillId="0" borderId="2" xfId="0" applyFont="1" applyBorder="1" applyAlignment="1">
      <alignment/>
    </xf>
    <xf numFmtId="0" fontId="0" fillId="0" borderId="19" xfId="0" applyBorder="1" applyAlignment="1">
      <alignment horizontal="center"/>
    </xf>
    <xf numFmtId="0" fontId="27" fillId="5" borderId="31" xfId="0" applyFont="1" applyFill="1" applyBorder="1" applyAlignment="1">
      <alignment horizontal="center"/>
    </xf>
    <xf numFmtId="0" fontId="24" fillId="0" borderId="2" xfId="0" applyFont="1" applyBorder="1" applyAlignment="1">
      <alignment/>
    </xf>
    <xf numFmtId="0" fontId="24" fillId="0" borderId="19" xfId="0" applyFont="1" applyBorder="1" applyAlignment="1">
      <alignment horizontal="center"/>
    </xf>
    <xf numFmtId="0" fontId="0" fillId="0" borderId="31" xfId="0" applyBorder="1" applyAlignment="1">
      <alignment/>
    </xf>
    <xf numFmtId="0" fontId="24" fillId="0" borderId="31" xfId="0" applyFont="1" applyBorder="1" applyAlignment="1">
      <alignment/>
    </xf>
    <xf numFmtId="0" fontId="24" fillId="0" borderId="20" xfId="0" applyFont="1" applyBorder="1" applyAlignment="1">
      <alignment/>
    </xf>
    <xf numFmtId="0" fontId="24" fillId="0" borderId="18" xfId="0" applyFont="1" applyBorder="1" applyAlignment="1">
      <alignment/>
    </xf>
    <xf numFmtId="0" fontId="24" fillId="0" borderId="29" xfId="0" applyFont="1" applyBorder="1" applyAlignment="1">
      <alignment/>
    </xf>
    <xf numFmtId="0" fontId="27" fillId="0" borderId="0" xfId="0" applyFont="1" applyAlignment="1">
      <alignment horizontal="center"/>
    </xf>
    <xf numFmtId="0" fontId="24" fillId="0" borderId="0" xfId="0" applyFont="1" applyAlignment="1">
      <alignment horizontal="center"/>
    </xf>
    <xf numFmtId="9" fontId="0" fillId="0" borderId="18" xfId="0" applyNumberFormat="1" applyBorder="1" applyAlignment="1">
      <alignment/>
    </xf>
    <xf numFmtId="9" fontId="0" fillId="0" borderId="0" xfId="0" applyNumberFormat="1" applyAlignment="1">
      <alignment/>
    </xf>
    <xf numFmtId="9" fontId="0" fillId="0" borderId="14" xfId="0" applyNumberFormat="1" applyBorder="1" applyAlignment="1">
      <alignment/>
    </xf>
    <xf numFmtId="0" fontId="24" fillId="0" borderId="16" xfId="0" applyFont="1" applyBorder="1" applyAlignment="1">
      <alignment/>
    </xf>
    <xf numFmtId="0" fontId="24" fillId="0" borderId="14" xfId="0" applyFont="1" applyBorder="1" applyAlignment="1">
      <alignment/>
    </xf>
    <xf numFmtId="0" fontId="24" fillId="0" borderId="16" xfId="0" applyFont="1" applyBorder="1" applyAlignment="1">
      <alignment horizontal="center"/>
    </xf>
    <xf numFmtId="0" fontId="24" fillId="0" borderId="14" xfId="0" applyFont="1" applyBorder="1" applyAlignment="1">
      <alignment horizontal="center"/>
    </xf>
    <xf numFmtId="0" fontId="0" fillId="0" borderId="30" xfId="0" applyBorder="1" applyAlignment="1">
      <alignment horizontal="center"/>
    </xf>
    <xf numFmtId="0" fontId="24" fillId="0" borderId="30" xfId="0" applyFont="1" applyBorder="1" applyAlignment="1">
      <alignment horizontal="center"/>
    </xf>
    <xf numFmtId="3" fontId="0" fillId="0" borderId="0" xfId="0" applyNumberFormat="1" applyAlignment="1">
      <alignment horizontal="center"/>
    </xf>
    <xf numFmtId="3" fontId="0" fillId="0" borderId="14" xfId="0" applyNumberFormat="1" applyBorder="1" applyAlignment="1">
      <alignment horizontal="center"/>
    </xf>
    <xf numFmtId="0" fontId="24" fillId="0" borderId="43" xfId="0" applyFont="1" applyBorder="1" applyAlignment="1">
      <alignment horizontal="center"/>
    </xf>
    <xf numFmtId="0" fontId="24" fillId="0" borderId="19" xfId="0" applyFont="1" applyBorder="1" applyAlignment="1">
      <alignment horizontal="left"/>
    </xf>
    <xf numFmtId="0" fontId="1" fillId="0" borderId="14" xfId="0" applyFont="1" applyBorder="1" applyAlignment="1">
      <alignment/>
    </xf>
    <xf numFmtId="0" fontId="0" fillId="0" borderId="14" xfId="0" applyBorder="1" applyAlignment="1">
      <alignment/>
    </xf>
    <xf numFmtId="0" fontId="0" fillId="0" borderId="19" xfId="0" applyBorder="1" applyAlignment="1">
      <alignment/>
    </xf>
    <xf numFmtId="0" fontId="24" fillId="0" borderId="19" xfId="0" applyFont="1" applyBorder="1" applyAlignment="1">
      <alignment/>
    </xf>
    <xf numFmtId="0" fontId="1" fillId="5" borderId="0" xfId="0" applyFont="1" applyFill="1" applyAlignment="1">
      <alignment horizontal="center"/>
    </xf>
    <xf numFmtId="0" fontId="28" fillId="0" borderId="0" xfId="0" applyFont="1" applyAlignment="1">
      <alignment/>
    </xf>
    <xf numFmtId="0" fontId="1" fillId="0" borderId="0" xfId="0" applyFont="1" applyAlignment="1">
      <alignment/>
    </xf>
    <xf numFmtId="0" fontId="24" fillId="0" borderId="0" xfId="0" applyFont="1" applyAlignment="1">
      <alignment/>
    </xf>
    <xf numFmtId="3" fontId="11" fillId="2" borderId="0" xfId="0" applyNumberFormat="1" applyFont="1" applyFill="1" applyBorder="1" applyAlignment="1">
      <alignment horizontal="right"/>
    </xf>
    <xf numFmtId="0" fontId="0" fillId="0" borderId="0" xfId="0" applyAlignment="1">
      <alignment/>
    </xf>
    <xf numFmtId="3" fontId="11" fillId="2" borderId="0" xfId="0" applyNumberFormat="1" applyFont="1" applyFill="1" applyAlignment="1">
      <alignment horizontal="right"/>
    </xf>
    <xf numFmtId="188" fontId="11" fillId="2" borderId="0" xfId="0" applyNumberFormat="1" applyFont="1" applyFill="1" applyAlignment="1">
      <alignment/>
    </xf>
    <xf numFmtId="0" fontId="14" fillId="0" borderId="0" xfId="0" applyFont="1" applyAlignment="1">
      <alignment wrapText="1"/>
    </xf>
    <xf numFmtId="0" fontId="11" fillId="2" borderId="0" xfId="0" applyFont="1" applyFill="1" applyAlignment="1">
      <alignment/>
    </xf>
    <xf numFmtId="0" fontId="0" fillId="0" borderId="0" xfId="0" applyAlignment="1">
      <alignment/>
    </xf>
    <xf numFmtId="0" fontId="11" fillId="2" borderId="0" xfId="0" applyFont="1" applyFill="1" applyBorder="1" applyAlignment="1">
      <alignment vertical="center" wrapText="1"/>
    </xf>
    <xf numFmtId="0" fontId="3" fillId="0" borderId="0" xfId="0" applyFont="1" applyAlignment="1">
      <alignment wrapText="1"/>
    </xf>
    <xf numFmtId="0" fontId="0" fillId="0" borderId="0" xfId="0" applyAlignment="1">
      <alignment wrapText="1"/>
    </xf>
    <xf numFmtId="0" fontId="11" fillId="2" borderId="0" xfId="0" applyFont="1" applyFill="1" applyAlignment="1">
      <alignment/>
    </xf>
    <xf numFmtId="0" fontId="11" fillId="2" borderId="0" xfId="0" applyFont="1" applyFill="1" applyBorder="1" applyAlignment="1">
      <alignment/>
    </xf>
    <xf numFmtId="188" fontId="11" fillId="2" borderId="0" xfId="0" applyNumberFormat="1" applyFont="1" applyFill="1" applyBorder="1" applyAlignment="1">
      <alignment horizontal="center" wrapText="1"/>
    </xf>
    <xf numFmtId="0" fontId="16" fillId="0" borderId="0" xfId="0" applyFont="1" applyAlignment="1">
      <alignment/>
    </xf>
    <xf numFmtId="0" fontId="3" fillId="0" borderId="0" xfId="0" applyFont="1" applyAlignment="1">
      <alignment wrapText="1"/>
    </xf>
    <xf numFmtId="1" fontId="11" fillId="2" borderId="0" xfId="0" applyNumberFormat="1" applyFont="1" applyFill="1" applyAlignment="1">
      <alignment horizontal="left"/>
    </xf>
    <xf numFmtId="0" fontId="1" fillId="0" borderId="0" xfId="0" applyFont="1" applyAlignment="1">
      <alignment/>
    </xf>
    <xf numFmtId="0" fontId="24" fillId="0" borderId="0" xfId="0" applyFont="1" applyAlignment="1">
      <alignment/>
    </xf>
    <xf numFmtId="193" fontId="1" fillId="0" borderId="37" xfId="15" applyNumberFormat="1" applyFont="1" applyFill="1" applyBorder="1" applyAlignment="1">
      <alignment horizontal="center"/>
    </xf>
    <xf numFmtId="193" fontId="1" fillId="0" borderId="39" xfId="15" applyNumberFormat="1" applyFont="1" applyFill="1" applyBorder="1" applyAlignment="1">
      <alignment horizontal="center"/>
    </xf>
    <xf numFmtId="193" fontId="1" fillId="0" borderId="38" xfId="15" applyNumberFormat="1" applyFont="1" applyFill="1" applyBorder="1" applyAlignment="1">
      <alignment horizontal="center"/>
    </xf>
    <xf numFmtId="0" fontId="1" fillId="0" borderId="14" xfId="0" applyFont="1" applyBorder="1" applyAlignment="1">
      <alignment/>
    </xf>
    <xf numFmtId="0" fontId="24" fillId="0" borderId="20" xfId="0" applyFont="1" applyBorder="1" applyAlignment="1">
      <alignment horizontal="center"/>
    </xf>
    <xf numFmtId="0" fontId="24" fillId="0" borderId="18"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152400</xdr:colOff>
      <xdr:row>1</xdr:row>
      <xdr:rowOff>133350</xdr:rowOff>
    </xdr:from>
    <xdr:to>
      <xdr:col>5</xdr:col>
      <xdr:colOff>314325</xdr:colOff>
      <xdr:row>11</xdr:row>
      <xdr:rowOff>47625</xdr:rowOff>
    </xdr:to>
    <xdr:pic>
      <xdr:nvPicPr>
        <xdr:cNvPr id="1" name="Picture 2"/>
        <xdr:cNvPicPr preferRelativeResize="1">
          <a:picLocks noChangeAspect="1"/>
        </xdr:cNvPicPr>
      </xdr:nvPicPr>
      <xdr:blipFill>
        <a:blip r:embed="rId1"/>
        <a:stretch>
          <a:fillRect/>
        </a:stretch>
      </xdr:blipFill>
      <xdr:spPr>
        <a:xfrm>
          <a:off x="6953250" y="485775"/>
          <a:ext cx="942975" cy="2209800"/>
        </a:xfrm>
        <a:prstGeom prst="rect">
          <a:avLst/>
        </a:prstGeom>
        <a:noFill/>
        <a:ln w="9525" cmpd="sng">
          <a:noFill/>
        </a:ln>
      </xdr:spPr>
    </xdr:pic>
    <xdr:clientData/>
  </xdr:twoCellAnchor>
  <xdr:twoCellAnchor editAs="oneCell">
    <xdr:from>
      <xdr:col>1</xdr:col>
      <xdr:colOff>714375</xdr:colOff>
      <xdr:row>142</xdr:row>
      <xdr:rowOff>95250</xdr:rowOff>
    </xdr:from>
    <xdr:to>
      <xdr:col>2</xdr:col>
      <xdr:colOff>238125</xdr:colOff>
      <xdr:row>149</xdr:row>
      <xdr:rowOff>104775</xdr:rowOff>
    </xdr:to>
    <xdr:pic>
      <xdr:nvPicPr>
        <xdr:cNvPr id="2" name="Picture 3"/>
        <xdr:cNvPicPr preferRelativeResize="1">
          <a:picLocks noChangeAspect="1"/>
        </xdr:cNvPicPr>
      </xdr:nvPicPr>
      <xdr:blipFill>
        <a:blip r:embed="rId1"/>
        <a:stretch>
          <a:fillRect/>
        </a:stretch>
      </xdr:blipFill>
      <xdr:spPr>
        <a:xfrm>
          <a:off x="4543425" y="25584150"/>
          <a:ext cx="514350" cy="1143000"/>
        </a:xfrm>
        <a:prstGeom prst="rect">
          <a:avLst/>
        </a:prstGeom>
        <a:noFill/>
        <a:ln w="9525" cmpd="sng">
          <a:noFill/>
        </a:ln>
      </xdr:spPr>
    </xdr:pic>
    <xdr:clientData/>
  </xdr:twoCellAnchor>
  <xdr:twoCellAnchor editAs="oneCell">
    <xdr:from>
      <xdr:col>2</xdr:col>
      <xdr:colOff>323850</xdr:colOff>
      <xdr:row>164</xdr:row>
      <xdr:rowOff>66675</xdr:rowOff>
    </xdr:from>
    <xdr:to>
      <xdr:col>2</xdr:col>
      <xdr:colOff>838200</xdr:colOff>
      <xdr:row>170</xdr:row>
      <xdr:rowOff>161925</xdr:rowOff>
    </xdr:to>
    <xdr:pic>
      <xdr:nvPicPr>
        <xdr:cNvPr id="3" name="Picture 4"/>
        <xdr:cNvPicPr preferRelativeResize="1">
          <a:picLocks noChangeAspect="1"/>
        </xdr:cNvPicPr>
      </xdr:nvPicPr>
      <xdr:blipFill>
        <a:blip r:embed="rId1"/>
        <a:stretch>
          <a:fillRect/>
        </a:stretch>
      </xdr:blipFill>
      <xdr:spPr>
        <a:xfrm>
          <a:off x="5143500" y="29194125"/>
          <a:ext cx="514350" cy="1123950"/>
        </a:xfrm>
        <a:prstGeom prst="rect">
          <a:avLst/>
        </a:prstGeom>
        <a:noFill/>
        <a:ln w="9525" cmpd="sng">
          <a:noFill/>
        </a:ln>
      </xdr:spPr>
    </xdr:pic>
    <xdr:clientData/>
  </xdr:twoCellAnchor>
  <xdr:twoCellAnchor editAs="oneCell">
    <xdr:from>
      <xdr:col>2</xdr:col>
      <xdr:colOff>638175</xdr:colOff>
      <xdr:row>240</xdr:row>
      <xdr:rowOff>0</xdr:rowOff>
    </xdr:from>
    <xdr:to>
      <xdr:col>3</xdr:col>
      <xdr:colOff>209550</xdr:colOff>
      <xdr:row>247</xdr:row>
      <xdr:rowOff>123825</xdr:rowOff>
    </xdr:to>
    <xdr:pic>
      <xdr:nvPicPr>
        <xdr:cNvPr id="4" name="Picture 6"/>
        <xdr:cNvPicPr preferRelativeResize="1">
          <a:picLocks noChangeAspect="1"/>
        </xdr:cNvPicPr>
      </xdr:nvPicPr>
      <xdr:blipFill>
        <a:blip r:embed="rId1"/>
        <a:stretch>
          <a:fillRect/>
        </a:stretch>
      </xdr:blipFill>
      <xdr:spPr>
        <a:xfrm>
          <a:off x="5457825" y="42957750"/>
          <a:ext cx="561975" cy="1400175"/>
        </a:xfrm>
        <a:prstGeom prst="rect">
          <a:avLst/>
        </a:prstGeom>
        <a:noFill/>
        <a:ln w="9525" cmpd="sng">
          <a:noFill/>
        </a:ln>
      </xdr:spPr>
    </xdr:pic>
    <xdr:clientData/>
  </xdr:twoCellAnchor>
  <xdr:twoCellAnchor editAs="oneCell">
    <xdr:from>
      <xdr:col>3</xdr:col>
      <xdr:colOff>581025</xdr:colOff>
      <xdr:row>239</xdr:row>
      <xdr:rowOff>0</xdr:rowOff>
    </xdr:from>
    <xdr:to>
      <xdr:col>6</xdr:col>
      <xdr:colOff>0</xdr:colOff>
      <xdr:row>249</xdr:row>
      <xdr:rowOff>152400</xdr:rowOff>
    </xdr:to>
    <xdr:pic>
      <xdr:nvPicPr>
        <xdr:cNvPr id="5" name="Picture 7"/>
        <xdr:cNvPicPr preferRelativeResize="1">
          <a:picLocks noChangeAspect="1"/>
        </xdr:cNvPicPr>
      </xdr:nvPicPr>
      <xdr:blipFill>
        <a:blip r:embed="rId2"/>
        <a:stretch>
          <a:fillRect/>
        </a:stretch>
      </xdr:blipFill>
      <xdr:spPr>
        <a:xfrm>
          <a:off x="6391275" y="42795825"/>
          <a:ext cx="1943100" cy="1914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P252"/>
  <sheetViews>
    <sheetView tabSelected="1" zoomScale="150" zoomScaleNormal="150" workbookViewId="0" topLeftCell="A1">
      <selection activeCell="E1" sqref="E1"/>
    </sheetView>
  </sheetViews>
  <sheetFormatPr defaultColWidth="11.421875" defaultRowHeight="12.75"/>
  <cols>
    <col min="1" max="1" width="57.421875" style="0" customWidth="1"/>
    <col min="2" max="3" width="14.8515625" style="10" customWidth="1"/>
    <col min="4" max="4" width="14.8515625" style="11" customWidth="1"/>
    <col min="5" max="5" width="11.7109375" style="7" customWidth="1"/>
    <col min="6" max="6" width="11.28125" style="0" customWidth="1"/>
    <col min="7" max="7" width="16.8515625" style="0" customWidth="1"/>
    <col min="8" max="16384" width="8.8515625" style="0" customWidth="1"/>
  </cols>
  <sheetData>
    <row r="1" spans="1:5" ht="27.75">
      <c r="A1" s="65" t="s">
        <v>89</v>
      </c>
      <c r="B1" s="66"/>
      <c r="C1" s="66"/>
      <c r="E1" s="92" t="s">
        <v>28</v>
      </c>
    </row>
    <row r="2" spans="1:6" ht="30">
      <c r="A2" s="65" t="s">
        <v>1</v>
      </c>
      <c r="B2" s="66"/>
      <c r="C2" s="66"/>
      <c r="D2"/>
      <c r="E2" s="394"/>
      <c r="F2" s="394"/>
    </row>
    <row r="3" spans="1:6" ht="30">
      <c r="A3" s="65" t="s">
        <v>65</v>
      </c>
      <c r="B3" s="66"/>
      <c r="C3" s="66"/>
      <c r="D3"/>
      <c r="E3" s="394"/>
      <c r="F3" s="394"/>
    </row>
    <row r="4" spans="1:6" ht="30">
      <c r="A4" s="65" t="s">
        <v>66</v>
      </c>
      <c r="B4" s="66"/>
      <c r="C4" s="66"/>
      <c r="D4"/>
      <c r="E4" s="394"/>
      <c r="F4" s="394"/>
    </row>
    <row r="5" spans="5:6" ht="18.75" customHeight="1">
      <c r="E5" s="394"/>
      <c r="F5" s="394"/>
    </row>
    <row r="6" spans="1:6" ht="12" customHeight="1">
      <c r="A6" s="67" t="s">
        <v>144</v>
      </c>
      <c r="E6" s="394"/>
      <c r="F6" s="394"/>
    </row>
    <row r="7" spans="1:6" ht="12.75">
      <c r="A7" s="67" t="s">
        <v>190</v>
      </c>
      <c r="E7" s="394"/>
      <c r="F7" s="394"/>
    </row>
    <row r="8" spans="1:6" s="67" customFormat="1" ht="12.75">
      <c r="A8" s="67" t="s">
        <v>645</v>
      </c>
      <c r="B8" s="93"/>
      <c r="C8" s="93"/>
      <c r="D8" s="94"/>
      <c r="E8" s="394"/>
      <c r="F8" s="394"/>
    </row>
    <row r="9" spans="1:6" s="67" customFormat="1" ht="12.75">
      <c r="A9" s="67" t="s">
        <v>2</v>
      </c>
      <c r="B9" s="93"/>
      <c r="C9" s="93"/>
      <c r="D9" s="94"/>
      <c r="E9" s="394"/>
      <c r="F9" s="394"/>
    </row>
    <row r="10" spans="1:6" ht="9.75" customHeight="1">
      <c r="A10" s="22"/>
      <c r="E10" s="394"/>
      <c r="F10" s="394"/>
    </row>
    <row r="11" spans="1:6" s="4" customFormat="1" ht="12" customHeight="1">
      <c r="A11" s="50" t="s">
        <v>87</v>
      </c>
      <c r="B11" s="12"/>
      <c r="C11" s="12"/>
      <c r="D11" s="13"/>
      <c r="E11" s="394"/>
      <c r="F11" s="394"/>
    </row>
    <row r="12" spans="1:6" s="4" customFormat="1" ht="12" customHeight="1">
      <c r="A12" s="25"/>
      <c r="B12" s="12"/>
      <c r="C12" s="12"/>
      <c r="D12" s="13"/>
      <c r="E12" s="394"/>
      <c r="F12" s="394"/>
    </row>
    <row r="13" spans="1:5" s="4" customFormat="1" ht="12" customHeight="1">
      <c r="A13" s="50" t="s">
        <v>88</v>
      </c>
      <c r="B13" s="12"/>
      <c r="C13" s="12"/>
      <c r="D13" s="13"/>
      <c r="E13" s="24"/>
    </row>
    <row r="14" spans="1:3" ht="12">
      <c r="A14" t="s">
        <v>105</v>
      </c>
      <c r="B14" s="16"/>
      <c r="C14" s="47" t="s">
        <v>137</v>
      </c>
    </row>
    <row r="15" spans="1:3" ht="12">
      <c r="A15" t="s">
        <v>39</v>
      </c>
      <c r="B15" s="16"/>
      <c r="C15" s="47" t="s">
        <v>137</v>
      </c>
    </row>
    <row r="16" spans="1:3" ht="12">
      <c r="A16" t="s">
        <v>150</v>
      </c>
      <c r="B16" s="16"/>
      <c r="C16" s="47" t="s">
        <v>137</v>
      </c>
    </row>
    <row r="17" spans="1:3" ht="12">
      <c r="A17" s="49" t="s">
        <v>102</v>
      </c>
      <c r="B17" s="98"/>
      <c r="C17" s="47" t="s">
        <v>101</v>
      </c>
    </row>
    <row r="18" spans="1:4" ht="12">
      <c r="A18" s="49"/>
      <c r="B18" s="20"/>
      <c r="C18" s="5"/>
      <c r="D18" s="109"/>
    </row>
    <row r="19" spans="1:7" ht="16.5" customHeight="1">
      <c r="A19" s="388" t="s">
        <v>647</v>
      </c>
      <c r="B19" s="382"/>
      <c r="C19" s="110">
        <f>B16*B17/1000</f>
        <v>0</v>
      </c>
      <c r="D19" s="109" t="s">
        <v>170</v>
      </c>
      <c r="G19" t="s">
        <v>174</v>
      </c>
    </row>
    <row r="20" spans="1:4" ht="12">
      <c r="A20" s="49"/>
      <c r="B20" s="20"/>
      <c r="C20" s="5"/>
      <c r="D20" s="109"/>
    </row>
    <row r="21" spans="1:11" ht="18">
      <c r="A21" s="386" t="s">
        <v>646</v>
      </c>
      <c r="B21" s="386"/>
      <c r="C21" s="386"/>
      <c r="D21" s="382"/>
      <c r="E21" s="382"/>
      <c r="F21" s="117">
        <f>C19*30</f>
        <v>0</v>
      </c>
      <c r="G21" s="387" t="s">
        <v>118</v>
      </c>
      <c r="H21" s="387"/>
      <c r="I21" s="387"/>
      <c r="J21" s="387"/>
      <c r="K21" s="387"/>
    </row>
    <row r="23" spans="1:11" ht="18.75">
      <c r="A23" s="386" t="s">
        <v>74</v>
      </c>
      <c r="B23" s="386"/>
      <c r="C23" s="386"/>
      <c r="D23" s="382"/>
      <c r="E23" s="383">
        <f>C19*3000</f>
        <v>0</v>
      </c>
      <c r="F23" s="382"/>
      <c r="G23" s="387" t="s">
        <v>208</v>
      </c>
      <c r="H23" s="387"/>
      <c r="I23" s="387"/>
      <c r="J23" s="387"/>
      <c r="K23" s="387"/>
    </row>
    <row r="24" spans="1:3" ht="12">
      <c r="A24" s="49"/>
      <c r="B24" s="11"/>
      <c r="C24" s="47"/>
    </row>
    <row r="25" spans="1:3" ht="12">
      <c r="A25" s="51" t="s">
        <v>152</v>
      </c>
      <c r="B25" s="11"/>
      <c r="C25" s="47"/>
    </row>
    <row r="27" spans="1:2" ht="15.75" customHeight="1">
      <c r="A27" s="68" t="s">
        <v>119</v>
      </c>
      <c r="B27" s="14"/>
    </row>
    <row r="28" spans="1:6" ht="13.5" customHeight="1">
      <c r="A28" s="2"/>
      <c r="E28" s="8"/>
      <c r="F28" s="6"/>
    </row>
    <row r="29" spans="1:2" ht="12">
      <c r="A29" s="1" t="s">
        <v>204</v>
      </c>
      <c r="B29" s="15"/>
    </row>
    <row r="30" ht="12">
      <c r="A30" s="3" t="s">
        <v>24</v>
      </c>
    </row>
    <row r="31" spans="1:6" ht="12">
      <c r="A31" t="s">
        <v>114</v>
      </c>
      <c r="B31" s="16"/>
      <c r="C31" s="10">
        <v>2.1</v>
      </c>
      <c r="D31" s="27">
        <f>B31*C31</f>
        <v>0</v>
      </c>
      <c r="E31" s="70" t="s">
        <v>188</v>
      </c>
      <c r="F31" t="s">
        <v>215</v>
      </c>
    </row>
    <row r="32" spans="1:6" ht="12">
      <c r="A32" t="s">
        <v>115</v>
      </c>
      <c r="B32" s="16"/>
      <c r="C32" s="10">
        <v>5.9</v>
      </c>
      <c r="D32" s="27">
        <f>B32*C32</f>
        <v>0</v>
      </c>
      <c r="E32" s="70" t="s">
        <v>188</v>
      </c>
      <c r="F32" t="s">
        <v>75</v>
      </c>
    </row>
    <row r="33" spans="1:6" ht="12">
      <c r="A33" t="s">
        <v>79</v>
      </c>
      <c r="B33" s="16"/>
      <c r="C33" s="10">
        <v>0.19</v>
      </c>
      <c r="D33" s="27">
        <f>B33*C33</f>
        <v>0</v>
      </c>
      <c r="E33" s="70" t="s">
        <v>188</v>
      </c>
      <c r="F33" t="s">
        <v>216</v>
      </c>
    </row>
    <row r="34" spans="1:6" ht="12">
      <c r="A34" t="s">
        <v>77</v>
      </c>
      <c r="B34" s="16"/>
      <c r="C34" s="10">
        <v>0.884</v>
      </c>
      <c r="D34" s="27">
        <f>B34*C34</f>
        <v>0</v>
      </c>
      <c r="E34" s="70" t="s">
        <v>188</v>
      </c>
      <c r="F34" t="s">
        <v>76</v>
      </c>
    </row>
    <row r="35" spans="1:5" ht="12">
      <c r="A35" t="s">
        <v>80</v>
      </c>
      <c r="B35" s="16"/>
      <c r="C35" s="10">
        <v>13.3</v>
      </c>
      <c r="D35" s="27">
        <f>B35*C35</f>
        <v>0</v>
      </c>
      <c r="E35" s="70" t="s">
        <v>188</v>
      </c>
    </row>
    <row r="36" spans="4:5" ht="12">
      <c r="D36" s="28"/>
      <c r="E36" s="71"/>
    </row>
    <row r="37" spans="1:5" ht="12">
      <c r="A37" s="1" t="s">
        <v>189</v>
      </c>
      <c r="D37" s="28"/>
      <c r="E37" s="71"/>
    </row>
    <row r="38" spans="1:5" ht="12">
      <c r="A38" s="3" t="s">
        <v>25</v>
      </c>
      <c r="D38" s="28"/>
      <c r="E38" s="71"/>
    </row>
    <row r="39" spans="1:5" ht="12">
      <c r="A39" t="s">
        <v>210</v>
      </c>
      <c r="B39" s="16"/>
      <c r="C39" s="10">
        <v>2.7</v>
      </c>
      <c r="D39" s="27">
        <f>B39*C39</f>
        <v>0</v>
      </c>
      <c r="E39" s="70" t="s">
        <v>188</v>
      </c>
    </row>
    <row r="40" spans="1:5" ht="12" hidden="1">
      <c r="A40" t="s">
        <v>149</v>
      </c>
      <c r="B40" s="16"/>
      <c r="C40" s="10">
        <v>2.5</v>
      </c>
      <c r="D40" s="27">
        <f>B40*C40</f>
        <v>0</v>
      </c>
      <c r="E40" s="71"/>
    </row>
    <row r="41" spans="1:5" s="1" customFormat="1" ht="12" hidden="1">
      <c r="A41"/>
      <c r="B41" s="10"/>
      <c r="C41" s="10"/>
      <c r="D41" s="28"/>
      <c r="E41" s="71"/>
    </row>
    <row r="42" spans="1:5" ht="12" hidden="1">
      <c r="A42" s="1" t="s">
        <v>205</v>
      </c>
      <c r="B42" s="17"/>
      <c r="C42" s="17"/>
      <c r="D42" s="28"/>
      <c r="E42" s="71"/>
    </row>
    <row r="43" spans="1:5" ht="12">
      <c r="A43" s="21" t="s">
        <v>211</v>
      </c>
      <c r="B43" s="102"/>
      <c r="C43" s="103">
        <v>3.3</v>
      </c>
      <c r="D43" s="27">
        <f>B43*C43</f>
        <v>0</v>
      </c>
      <c r="E43" s="71" t="s">
        <v>188</v>
      </c>
    </row>
    <row r="44" spans="1:6" ht="12">
      <c r="A44" s="89" t="s">
        <v>212</v>
      </c>
      <c r="B44" s="102"/>
      <c r="C44" s="103">
        <v>2.5</v>
      </c>
      <c r="D44" s="27">
        <f>B44*C44+C44</f>
        <v>2.5</v>
      </c>
      <c r="E44" s="71" t="s">
        <v>188</v>
      </c>
      <c r="F44" t="s">
        <v>216</v>
      </c>
    </row>
    <row r="45" spans="1:5" ht="12">
      <c r="A45" s="89" t="s">
        <v>78</v>
      </c>
      <c r="B45" s="16"/>
      <c r="C45" s="10">
        <v>1</v>
      </c>
      <c r="D45" s="27">
        <f>B45*C45</f>
        <v>0</v>
      </c>
      <c r="E45" s="70" t="s">
        <v>188</v>
      </c>
    </row>
    <row r="46" spans="1:5" ht="12">
      <c r="A46" s="3" t="s">
        <v>26</v>
      </c>
      <c r="D46" s="26"/>
      <c r="E46" s="70"/>
    </row>
    <row r="47" spans="4:5" ht="12">
      <c r="D47" s="28"/>
      <c r="E47" s="71"/>
    </row>
    <row r="48" spans="1:5" ht="12">
      <c r="A48" s="1" t="s">
        <v>648</v>
      </c>
      <c r="D48" s="28"/>
      <c r="E48" s="71"/>
    </row>
    <row r="49" spans="1:5" ht="12">
      <c r="A49" s="3" t="s">
        <v>24</v>
      </c>
      <c r="D49" s="28"/>
      <c r="E49" s="71"/>
    </row>
    <row r="50" spans="1:6" ht="12">
      <c r="A50" t="s">
        <v>27</v>
      </c>
      <c r="B50" s="16"/>
      <c r="C50" s="10">
        <v>3.2</v>
      </c>
      <c r="D50" s="27">
        <f>B50*C50</f>
        <v>0</v>
      </c>
      <c r="E50" s="70" t="s">
        <v>188</v>
      </c>
      <c r="F50" t="s">
        <v>216</v>
      </c>
    </row>
    <row r="51" spans="1:7" ht="12">
      <c r="A51" t="s">
        <v>220</v>
      </c>
      <c r="B51" s="16"/>
      <c r="C51" s="10">
        <v>12.1</v>
      </c>
      <c r="D51" s="27">
        <f>B51*C51</f>
        <v>0</v>
      </c>
      <c r="E51" s="70" t="s">
        <v>188</v>
      </c>
      <c r="G51" t="s">
        <v>229</v>
      </c>
    </row>
    <row r="52" spans="1:7" ht="12">
      <c r="A52" t="s">
        <v>214</v>
      </c>
      <c r="B52" s="16"/>
      <c r="C52" s="10">
        <v>14.6</v>
      </c>
      <c r="D52" s="27">
        <f>B52*C52</f>
        <v>0</v>
      </c>
      <c r="E52" s="70" t="s">
        <v>188</v>
      </c>
      <c r="G52" t="s">
        <v>230</v>
      </c>
    </row>
    <row r="53" spans="2:7" ht="12">
      <c r="B53" s="20"/>
      <c r="C53" s="20"/>
      <c r="D53" s="26"/>
      <c r="E53" s="71"/>
      <c r="G53" t="s">
        <v>221</v>
      </c>
    </row>
    <row r="54" spans="1:5" ht="12">
      <c r="A54" s="1" t="s">
        <v>60</v>
      </c>
      <c r="D54" s="28"/>
      <c r="E54" s="71"/>
    </row>
    <row r="55" spans="4:5" ht="19.5" customHeight="1">
      <c r="D55" s="28"/>
      <c r="E55" s="71"/>
    </row>
    <row r="56" spans="1:5" ht="18">
      <c r="A56" s="68" t="s">
        <v>186</v>
      </c>
      <c r="D56" s="28"/>
      <c r="E56" s="71"/>
    </row>
    <row r="57" spans="1:5" ht="10.5" customHeight="1">
      <c r="A57" s="2"/>
      <c r="D57" s="28"/>
      <c r="E57" s="71"/>
    </row>
    <row r="58" spans="1:5" ht="12">
      <c r="A58" s="3" t="s">
        <v>153</v>
      </c>
      <c r="D58" s="28"/>
      <c r="E58" s="71"/>
    </row>
    <row r="59" spans="4:5" ht="12">
      <c r="D59" s="28"/>
      <c r="E59" s="71"/>
    </row>
    <row r="60" spans="1:6" ht="12">
      <c r="A60" t="s">
        <v>154</v>
      </c>
      <c r="B60" s="16"/>
      <c r="C60" s="10">
        <f>B17/1000</f>
        <v>0</v>
      </c>
      <c r="D60" s="27">
        <f>B60*C60</f>
        <v>0</v>
      </c>
      <c r="E60" s="70" t="s">
        <v>188</v>
      </c>
      <c r="F60" s="7" t="s">
        <v>217</v>
      </c>
    </row>
    <row r="61" spans="1:6" ht="12" customHeight="1">
      <c r="A61" t="s">
        <v>198</v>
      </c>
      <c r="B61" s="16"/>
      <c r="C61" s="10">
        <v>0.015</v>
      </c>
      <c r="D61" s="27">
        <f>B61*C61</f>
        <v>0</v>
      </c>
      <c r="E61" s="70" t="s">
        <v>188</v>
      </c>
      <c r="F61" s="7" t="s">
        <v>199</v>
      </c>
    </row>
    <row r="62" spans="1:5" ht="12" customHeight="1">
      <c r="A62" s="3" t="s">
        <v>206</v>
      </c>
      <c r="D62" s="28"/>
      <c r="E62" s="71"/>
    </row>
    <row r="63" spans="1:5" ht="18.75" customHeight="1">
      <c r="A63" s="2"/>
      <c r="D63" s="28"/>
      <c r="E63" s="71"/>
    </row>
    <row r="64" spans="1:5" ht="18">
      <c r="A64" s="68" t="s">
        <v>100</v>
      </c>
      <c r="D64" s="28"/>
      <c r="E64" s="71"/>
    </row>
    <row r="65" spans="1:5" ht="12" customHeight="1">
      <c r="A65" s="2"/>
      <c r="D65" s="28"/>
      <c r="E65" s="71"/>
    </row>
    <row r="66" spans="1:5" ht="12">
      <c r="A66" s="3" t="s">
        <v>61</v>
      </c>
      <c r="D66" s="28"/>
      <c r="E66" s="71"/>
    </row>
    <row r="67" spans="1:5" ht="12">
      <c r="A67" t="s">
        <v>62</v>
      </c>
      <c r="B67" s="16"/>
      <c r="C67" s="10">
        <v>2.3</v>
      </c>
      <c r="D67" s="27">
        <f>B67*C67</f>
        <v>0</v>
      </c>
      <c r="E67" s="70" t="s">
        <v>188</v>
      </c>
    </row>
    <row r="68" spans="1:6" ht="12">
      <c r="A68" t="s">
        <v>225</v>
      </c>
      <c r="B68" s="16"/>
      <c r="C68" s="10">
        <v>8.7</v>
      </c>
      <c r="D68" s="27">
        <f>C68*B68</f>
        <v>0</v>
      </c>
      <c r="E68" s="70" t="s">
        <v>188</v>
      </c>
      <c r="F68" t="s">
        <v>229</v>
      </c>
    </row>
    <row r="69" spans="1:6" ht="12">
      <c r="A69" t="s">
        <v>226</v>
      </c>
      <c r="B69" s="16"/>
      <c r="C69" s="10">
        <v>10.5</v>
      </c>
      <c r="D69" s="27">
        <f>C69*B69</f>
        <v>0</v>
      </c>
      <c r="E69" s="70" t="s">
        <v>188</v>
      </c>
      <c r="F69" t="s">
        <v>230</v>
      </c>
    </row>
    <row r="70" spans="1:5" ht="12">
      <c r="A70" t="s">
        <v>63</v>
      </c>
      <c r="B70" s="16"/>
      <c r="C70" s="10">
        <v>2.6</v>
      </c>
      <c r="D70" s="27">
        <f>B70*C70</f>
        <v>0</v>
      </c>
      <c r="E70" s="70" t="s">
        <v>188</v>
      </c>
    </row>
    <row r="71" spans="1:6" ht="12">
      <c r="A71" t="s">
        <v>227</v>
      </c>
      <c r="B71" s="16"/>
      <c r="C71" s="10">
        <v>9.9</v>
      </c>
      <c r="D71" s="27">
        <f>B71*C71</f>
        <v>0</v>
      </c>
      <c r="E71" s="70" t="s">
        <v>188</v>
      </c>
      <c r="F71" t="s">
        <v>229</v>
      </c>
    </row>
    <row r="72" spans="1:6" ht="12">
      <c r="A72" t="s">
        <v>228</v>
      </c>
      <c r="B72" s="16"/>
      <c r="C72" s="10">
        <v>11.83</v>
      </c>
      <c r="D72" s="27">
        <f>C72*B72</f>
        <v>0</v>
      </c>
      <c r="E72" s="70" t="s">
        <v>188</v>
      </c>
      <c r="F72" t="s">
        <v>230</v>
      </c>
    </row>
    <row r="73" spans="4:5" ht="12">
      <c r="D73" s="28"/>
      <c r="E73" s="71"/>
    </row>
    <row r="74" spans="1:5" s="4" customFormat="1" ht="12">
      <c r="A74" s="1" t="s">
        <v>129</v>
      </c>
      <c r="B74" s="10"/>
      <c r="C74" s="10"/>
      <c r="D74" s="28"/>
      <c r="E74" s="71"/>
    </row>
    <row r="75" spans="1:5" s="4" customFormat="1" ht="12">
      <c r="A75" s="3" t="s">
        <v>38</v>
      </c>
      <c r="B75" s="18"/>
      <c r="C75" s="18"/>
      <c r="D75" s="28"/>
      <c r="E75" s="71"/>
    </row>
    <row r="76" spans="2:5" s="4" customFormat="1" ht="12">
      <c r="B76" s="18"/>
      <c r="C76" s="18"/>
      <c r="D76" s="28"/>
      <c r="E76" s="71"/>
    </row>
    <row r="77" spans="1:5" ht="12">
      <c r="A77" s="1" t="s">
        <v>182</v>
      </c>
      <c r="B77" s="18"/>
      <c r="C77" s="18"/>
      <c r="D77" s="28"/>
      <c r="E77" s="71"/>
    </row>
    <row r="78" spans="1:5" ht="12">
      <c r="A78" t="s">
        <v>200</v>
      </c>
      <c r="B78" s="16"/>
      <c r="C78" s="10">
        <v>0.16</v>
      </c>
      <c r="D78" s="27">
        <f>B78*C78</f>
        <v>0</v>
      </c>
      <c r="E78" s="70" t="s">
        <v>188</v>
      </c>
    </row>
    <row r="79" spans="1:5" ht="12">
      <c r="A79" t="s">
        <v>201</v>
      </c>
      <c r="B79" s="16"/>
      <c r="C79" s="10">
        <v>0.26</v>
      </c>
      <c r="D79" s="27">
        <f>B79*C79</f>
        <v>0</v>
      </c>
      <c r="E79" s="70" t="s">
        <v>188</v>
      </c>
    </row>
    <row r="80" spans="4:5" ht="12">
      <c r="D80" s="28"/>
      <c r="E80" s="71"/>
    </row>
    <row r="81" spans="1:5" ht="12">
      <c r="A81" s="1" t="s">
        <v>179</v>
      </c>
      <c r="D81" s="28"/>
      <c r="E81" s="71"/>
    </row>
    <row r="82" spans="1:5" ht="12">
      <c r="A82" t="s">
        <v>200</v>
      </c>
      <c r="B82" s="16"/>
      <c r="C82" s="10">
        <v>0.19</v>
      </c>
      <c r="D82" s="27">
        <f>B82*C82</f>
        <v>0</v>
      </c>
      <c r="E82" s="70" t="s">
        <v>188</v>
      </c>
    </row>
    <row r="83" spans="1:5" ht="12">
      <c r="A83" t="s">
        <v>201</v>
      </c>
      <c r="B83" s="16"/>
      <c r="C83" s="10">
        <v>0.3</v>
      </c>
      <c r="D83" s="27">
        <f>B83*C83</f>
        <v>0</v>
      </c>
      <c r="E83" s="70" t="s">
        <v>188</v>
      </c>
    </row>
    <row r="84" spans="4:5" ht="12">
      <c r="D84" s="28"/>
      <c r="E84" s="71"/>
    </row>
    <row r="85" spans="1:5" ht="12">
      <c r="A85" s="1" t="s">
        <v>183</v>
      </c>
      <c r="D85" s="28"/>
      <c r="E85" s="71"/>
    </row>
    <row r="86" spans="1:5" ht="12">
      <c r="A86" t="s">
        <v>200</v>
      </c>
      <c r="B86" s="16"/>
      <c r="C86" s="10">
        <v>0.22</v>
      </c>
      <c r="D86" s="27">
        <f>B86*C86</f>
        <v>0</v>
      </c>
      <c r="E86" s="70" t="s">
        <v>188</v>
      </c>
    </row>
    <row r="87" spans="1:5" ht="12">
      <c r="A87" t="s">
        <v>201</v>
      </c>
      <c r="B87" s="16"/>
      <c r="C87" s="10">
        <v>0.35</v>
      </c>
      <c r="D87" s="27">
        <f>B87*C87</f>
        <v>0</v>
      </c>
      <c r="E87" s="70" t="s">
        <v>188</v>
      </c>
    </row>
    <row r="88" spans="1:5" s="4" customFormat="1" ht="12">
      <c r="A88"/>
      <c r="B88" s="10"/>
      <c r="C88" s="10"/>
      <c r="D88" s="28"/>
      <c r="E88" s="71"/>
    </row>
    <row r="89" spans="1:5" ht="12">
      <c r="A89" s="1" t="s">
        <v>180</v>
      </c>
      <c r="B89" s="18"/>
      <c r="C89" s="18"/>
      <c r="D89" s="28"/>
      <c r="E89" s="71"/>
    </row>
    <row r="90" spans="1:5" ht="12">
      <c r="A90" t="s">
        <v>200</v>
      </c>
      <c r="B90" s="16"/>
      <c r="C90" s="10">
        <v>0.16</v>
      </c>
      <c r="D90" s="27">
        <f>B90*C90</f>
        <v>0</v>
      </c>
      <c r="E90" s="70" t="s">
        <v>188</v>
      </c>
    </row>
    <row r="91" spans="1:5" ht="12">
      <c r="A91" t="s">
        <v>201</v>
      </c>
      <c r="B91" s="16"/>
      <c r="C91" s="10">
        <v>0.26</v>
      </c>
      <c r="D91" s="27">
        <f>B91*C91</f>
        <v>0</v>
      </c>
      <c r="E91" s="70" t="s">
        <v>188</v>
      </c>
    </row>
    <row r="92" spans="4:5" ht="12">
      <c r="D92" s="28"/>
      <c r="E92" s="71"/>
    </row>
    <row r="93" spans="1:5" ht="12">
      <c r="A93" s="1" t="s">
        <v>184</v>
      </c>
      <c r="D93" s="28"/>
      <c r="E93" s="71"/>
    </row>
    <row r="94" spans="1:5" ht="12">
      <c r="A94" t="s">
        <v>200</v>
      </c>
      <c r="B94" s="16"/>
      <c r="C94" s="10">
        <v>0.19</v>
      </c>
      <c r="D94" s="27">
        <f>B94*C94</f>
        <v>0</v>
      </c>
      <c r="E94" s="70" t="s">
        <v>188</v>
      </c>
    </row>
    <row r="95" spans="1:5" ht="12">
      <c r="A95" t="s">
        <v>201</v>
      </c>
      <c r="B95" s="16"/>
      <c r="C95" s="10">
        <v>0.31</v>
      </c>
      <c r="D95" s="27">
        <f>B95*C95</f>
        <v>0</v>
      </c>
      <c r="E95" s="70" t="s">
        <v>188</v>
      </c>
    </row>
    <row r="96" spans="1:5" s="4" customFormat="1" ht="12">
      <c r="A96"/>
      <c r="B96" s="10"/>
      <c r="C96" s="10"/>
      <c r="D96" s="28"/>
      <c r="E96" s="71"/>
    </row>
    <row r="97" spans="1:5" ht="12">
      <c r="A97" s="1" t="s">
        <v>181</v>
      </c>
      <c r="B97" s="18"/>
      <c r="C97" s="18"/>
      <c r="D97" s="28"/>
      <c r="E97" s="71"/>
    </row>
    <row r="98" spans="1:5" ht="12">
      <c r="A98" t="s">
        <v>200</v>
      </c>
      <c r="B98" s="16"/>
      <c r="C98" s="10">
        <v>0.17</v>
      </c>
      <c r="D98" s="27">
        <f>B98*C98</f>
        <v>0</v>
      </c>
      <c r="E98" s="70" t="s">
        <v>188</v>
      </c>
    </row>
    <row r="99" spans="1:5" ht="12">
      <c r="A99" t="s">
        <v>201</v>
      </c>
      <c r="B99" s="16"/>
      <c r="C99" s="10">
        <v>0.28</v>
      </c>
      <c r="D99" s="27">
        <f>B99*C99</f>
        <v>0</v>
      </c>
      <c r="E99" s="70" t="s">
        <v>188</v>
      </c>
    </row>
    <row r="100" spans="4:5" ht="12">
      <c r="D100" s="28"/>
      <c r="E100" s="71"/>
    </row>
    <row r="101" spans="1:5" ht="18">
      <c r="A101" s="68" t="s">
        <v>124</v>
      </c>
      <c r="D101" s="28"/>
      <c r="E101" s="71"/>
    </row>
    <row r="102" spans="1:5" ht="12">
      <c r="A102" t="s">
        <v>176</v>
      </c>
      <c r="B102" s="16"/>
      <c r="C102" s="10">
        <v>0.05</v>
      </c>
      <c r="D102" s="27">
        <f>B102*C102</f>
        <v>0</v>
      </c>
      <c r="E102" s="70" t="s">
        <v>188</v>
      </c>
    </row>
    <row r="103" spans="1:5" ht="12" hidden="1">
      <c r="A103" t="s">
        <v>185</v>
      </c>
      <c r="B103" s="16"/>
      <c r="C103" s="10">
        <v>0.11</v>
      </c>
      <c r="D103" s="27">
        <f>B103*C103</f>
        <v>0</v>
      </c>
      <c r="E103" s="71"/>
    </row>
    <row r="104" spans="4:5" ht="12" hidden="1">
      <c r="D104" s="28"/>
      <c r="E104" s="71"/>
    </row>
    <row r="105" spans="4:5" ht="12" hidden="1">
      <c r="D105" s="28"/>
      <c r="E105" s="71"/>
    </row>
    <row r="106" spans="1:5" ht="18" hidden="1">
      <c r="A106" s="2" t="s">
        <v>202</v>
      </c>
      <c r="B106" s="19"/>
      <c r="C106" s="10">
        <v>0.75</v>
      </c>
      <c r="D106" s="29"/>
      <c r="E106" s="71"/>
    </row>
    <row r="107" spans="1:6" ht="12" hidden="1">
      <c r="A107" t="s">
        <v>203</v>
      </c>
      <c r="B107" s="19"/>
      <c r="C107" s="10" t="s">
        <v>128</v>
      </c>
      <c r="D107" s="29"/>
      <c r="E107" s="71"/>
      <c r="F107" s="5"/>
    </row>
    <row r="108" spans="1:6" ht="12">
      <c r="A108" t="s">
        <v>148</v>
      </c>
      <c r="B108" s="16"/>
      <c r="C108" s="10">
        <f>(0.05*B17)/800</f>
        <v>0</v>
      </c>
      <c r="D108" s="27">
        <f>B108*C108</f>
        <v>0</v>
      </c>
      <c r="E108" s="70" t="s">
        <v>188</v>
      </c>
      <c r="F108" s="5"/>
    </row>
    <row r="109" spans="1:5" ht="12">
      <c r="A109" s="3" t="s">
        <v>213</v>
      </c>
      <c r="D109" s="28"/>
      <c r="E109" s="71"/>
    </row>
    <row r="110" spans="4:5" ht="12">
      <c r="D110" s="28"/>
      <c r="E110" s="71"/>
    </row>
    <row r="111" spans="1:5" ht="18">
      <c r="A111" s="68" t="s">
        <v>187</v>
      </c>
      <c r="D111" s="28"/>
      <c r="E111" s="71"/>
    </row>
    <row r="112" spans="1:5" ht="51" customHeight="1">
      <c r="A112" s="389" t="s">
        <v>231</v>
      </c>
      <c r="B112" s="390"/>
      <c r="C112" s="390"/>
      <c r="D112" s="390"/>
      <c r="E112" s="390"/>
    </row>
    <row r="113" spans="1:5" ht="10.5" customHeight="1">
      <c r="A113" s="106"/>
      <c r="B113" s="95"/>
      <c r="C113" s="95"/>
      <c r="D113" s="95"/>
      <c r="E113" s="95"/>
    </row>
    <row r="114" spans="1:11" ht="25.5" customHeight="1">
      <c r="A114" s="107" t="s">
        <v>279</v>
      </c>
      <c r="B114" s="16">
        <v>1</v>
      </c>
      <c r="D114" s="10"/>
      <c r="F114" s="387" t="s">
        <v>286</v>
      </c>
      <c r="G114" s="387"/>
      <c r="H114" s="387"/>
      <c r="I114" s="387"/>
      <c r="J114" s="387"/>
      <c r="K114" s="387"/>
    </row>
    <row r="115" spans="1:6" ht="12" customHeight="1">
      <c r="A115" s="106"/>
      <c r="B115" s="95"/>
      <c r="C115" s="95"/>
      <c r="D115" s="95"/>
      <c r="E115" s="95"/>
      <c r="F115" t="s">
        <v>232</v>
      </c>
    </row>
    <row r="116" spans="1:6" ht="12" customHeight="1">
      <c r="A116" t="s">
        <v>218</v>
      </c>
      <c r="B116" s="16">
        <v>-527</v>
      </c>
      <c r="C116" s="10">
        <f>(1+(B114*1.7))*(44/12)*(156/184)*(7840+10.1*(B116-250))/(370*0.75*B116)</f>
        <v>0.0004419357068478324</v>
      </c>
      <c r="D116" s="27">
        <f aca="true" t="shared" si="0" ref="D116:D124">B116*C116</f>
        <v>-0.23290011750880768</v>
      </c>
      <c r="E116" s="70" t="s">
        <v>188</v>
      </c>
      <c r="F116" s="136" t="s">
        <v>280</v>
      </c>
    </row>
    <row r="117" spans="1:7" ht="10.5" customHeight="1">
      <c r="A117" t="s">
        <v>219</v>
      </c>
      <c r="B117" s="16">
        <v>-527</v>
      </c>
      <c r="C117" s="10">
        <f>(1+(B114*1.7))*(44/12)*(156/184)*(7840+10.1*(B117-250))/(370*0.75*B117)</f>
        <v>0.0004419357068478324</v>
      </c>
      <c r="D117" s="104">
        <f t="shared" si="0"/>
        <v>-0.23290011750880768</v>
      </c>
      <c r="E117" s="105" t="s">
        <v>188</v>
      </c>
      <c r="F117" s="387" t="s">
        <v>281</v>
      </c>
      <c r="G117" s="387"/>
    </row>
    <row r="118" spans="1:11" ht="12">
      <c r="A118" t="s">
        <v>68</v>
      </c>
      <c r="B118" s="16">
        <v>-527</v>
      </c>
      <c r="C118" s="10">
        <f>(1+(B114*1.7))*(44/12)*(156/184)*(7840+10.1*(B118-250))/(370*0.75*B118)</f>
        <v>0.0004419357068478324</v>
      </c>
      <c r="D118" s="104">
        <f t="shared" si="0"/>
        <v>-0.23290011750880768</v>
      </c>
      <c r="E118" s="105" t="s">
        <v>188</v>
      </c>
      <c r="F118" s="382" t="s">
        <v>282</v>
      </c>
      <c r="G118" s="382"/>
      <c r="H118" s="382"/>
      <c r="I118" s="382"/>
      <c r="J118" s="382"/>
      <c r="K118" s="382"/>
    </row>
    <row r="119" spans="1:11" ht="12">
      <c r="A119" t="s">
        <v>69</v>
      </c>
      <c r="B119" s="16">
        <v>-527</v>
      </c>
      <c r="C119" s="10">
        <f>(1+(B114*1.7))*(44/12)*(156/184)*(7840+10.1*(B119-250))/(370*0.75*B119/1.25)</f>
        <v>0.0005524196335597905</v>
      </c>
      <c r="D119" s="104">
        <f t="shared" si="0"/>
        <v>-0.2911251468860096</v>
      </c>
      <c r="E119" s="105" t="s">
        <v>188</v>
      </c>
      <c r="F119" s="382" t="s">
        <v>283</v>
      </c>
      <c r="G119" s="382"/>
      <c r="H119" s="382"/>
      <c r="I119" s="382"/>
      <c r="J119" s="382"/>
      <c r="K119" s="382"/>
    </row>
    <row r="120" spans="1:11" ht="12">
      <c r="A120" t="s">
        <v>29</v>
      </c>
      <c r="B120" s="16">
        <v>-527</v>
      </c>
      <c r="C120" s="10">
        <f>(1+(B114*1.7))*(44/12)*(156/184)*(7840+10.1*(B120-250))/(370*0.75*B120)</f>
        <v>0.0004419357068478324</v>
      </c>
      <c r="D120" s="104">
        <f t="shared" si="0"/>
        <v>-0.23290011750880768</v>
      </c>
      <c r="E120" s="105" t="s">
        <v>188</v>
      </c>
      <c r="F120" s="382" t="s">
        <v>224</v>
      </c>
      <c r="G120" s="382"/>
      <c r="H120" s="382"/>
      <c r="I120" s="382"/>
      <c r="J120" s="382"/>
      <c r="K120" s="382"/>
    </row>
    <row r="121" spans="1:11" ht="12">
      <c r="A121" t="s">
        <v>30</v>
      </c>
      <c r="B121" s="16">
        <v>-527</v>
      </c>
      <c r="C121" s="10">
        <f>(1+(B114*1.7))*(44/12)*(156/184)*(7840+10.1*(B121-250))/(370*0.75*B121/1.25)</f>
        <v>0.0005524196335597905</v>
      </c>
      <c r="D121" s="104">
        <f t="shared" si="0"/>
        <v>-0.2911251468860096</v>
      </c>
      <c r="E121" s="105" t="s">
        <v>188</v>
      </c>
      <c r="F121" s="382" t="s">
        <v>284</v>
      </c>
      <c r="G121" s="382"/>
      <c r="H121" s="382"/>
      <c r="I121" s="382"/>
      <c r="J121" s="382"/>
      <c r="K121" s="382"/>
    </row>
    <row r="122" spans="1:11" ht="12">
      <c r="A122" t="s">
        <v>31</v>
      </c>
      <c r="B122" s="16">
        <v>-527</v>
      </c>
      <c r="C122" s="10">
        <f>(1+(B114*1.7))*(44/12)*(156/184)*(7840+10.1*(B122-250))/(370*0.75*B122)</f>
        <v>0.0004419357068478324</v>
      </c>
      <c r="D122" s="104">
        <f t="shared" si="0"/>
        <v>-0.23290011750880768</v>
      </c>
      <c r="E122" s="105" t="s">
        <v>188</v>
      </c>
      <c r="F122" s="382" t="s">
        <v>285</v>
      </c>
      <c r="G122" s="382"/>
      <c r="H122" s="382"/>
      <c r="I122" s="382"/>
      <c r="J122" s="382"/>
      <c r="K122" s="382"/>
    </row>
    <row r="123" spans="1:6" ht="12">
      <c r="A123" t="s">
        <v>32</v>
      </c>
      <c r="B123" s="16">
        <v>-527</v>
      </c>
      <c r="C123" s="10">
        <f>(1+(B114*1.7))*(44/12)*(156/184)*(7840+10.1*(B123-250))/(370*0.75*B123)</f>
        <v>0.0004419357068478324</v>
      </c>
      <c r="D123" s="27">
        <f t="shared" si="0"/>
        <v>-0.23290011750880768</v>
      </c>
      <c r="E123" s="70" t="s">
        <v>188</v>
      </c>
      <c r="F123" t="s">
        <v>233</v>
      </c>
    </row>
    <row r="124" spans="1:6" ht="39" customHeight="1">
      <c r="A124" s="9" t="s">
        <v>245</v>
      </c>
      <c r="B124" s="16">
        <v>0</v>
      </c>
      <c r="C124" s="108">
        <f>1+1.7*B114</f>
        <v>2.7</v>
      </c>
      <c r="D124" s="11">
        <f t="shared" si="0"/>
        <v>0</v>
      </c>
      <c r="E124" s="71" t="s">
        <v>188</v>
      </c>
      <c r="F124" t="s">
        <v>178</v>
      </c>
    </row>
    <row r="125" spans="1:5" ht="21" customHeight="1">
      <c r="A125" s="107"/>
      <c r="D125" s="20"/>
      <c r="E125" s="71"/>
    </row>
    <row r="126" spans="1:5" ht="21" customHeight="1">
      <c r="A126" s="69" t="s">
        <v>177</v>
      </c>
      <c r="D126" s="16"/>
      <c r="E126" s="70" t="s">
        <v>188</v>
      </c>
    </row>
    <row r="127" spans="1:5" ht="39" customHeight="1">
      <c r="A127" s="395" t="s">
        <v>196</v>
      </c>
      <c r="B127" s="382"/>
      <c r="C127" s="382"/>
      <c r="D127" s="382"/>
      <c r="E127" s="382"/>
    </row>
    <row r="128" ht="12.75" customHeight="1">
      <c r="A128" s="9"/>
    </row>
    <row r="129" spans="1:6" ht="54">
      <c r="A129" s="52" t="s">
        <v>93</v>
      </c>
      <c r="B129" s="53"/>
      <c r="C129" s="53"/>
      <c r="D129" s="54">
        <f>SUM(D31:D126)</f>
        <v>0.5203490011751342</v>
      </c>
      <c r="E129" s="55" t="s">
        <v>188</v>
      </c>
      <c r="F129" s="56"/>
    </row>
    <row r="130" ht="18">
      <c r="D130" s="23"/>
    </row>
    <row r="131" spans="1:7" ht="18">
      <c r="A131" s="391" t="s">
        <v>173</v>
      </c>
      <c r="B131" s="391"/>
      <c r="C131" s="391"/>
      <c r="D131" s="391"/>
      <c r="E131" s="391"/>
      <c r="F131" s="119">
        <f>D129/30</f>
        <v>0.017344966705837805</v>
      </c>
      <c r="G131" t="s">
        <v>649</v>
      </c>
    </row>
    <row r="132" ht="10.5" customHeight="1">
      <c r="D132" s="23"/>
    </row>
    <row r="133" spans="1:4" ht="18">
      <c r="A133" t="s">
        <v>71</v>
      </c>
      <c r="C133" s="16">
        <v>1</v>
      </c>
      <c r="D133" s="23"/>
    </row>
    <row r="134" spans="1:4" ht="18">
      <c r="A134" s="3" t="s">
        <v>64</v>
      </c>
      <c r="C134" s="20"/>
      <c r="D134" s="23"/>
    </row>
    <row r="135" spans="1:4" ht="12.75" customHeight="1">
      <c r="A135" s="3"/>
      <c r="C135" s="20"/>
      <c r="D135" s="23"/>
    </row>
    <row r="136" spans="1:6" ht="22.5">
      <c r="A136" s="57" t="s">
        <v>145</v>
      </c>
      <c r="B136" s="58"/>
      <c r="C136" s="58"/>
      <c r="D136" s="54">
        <f>D129/C133</f>
        <v>0.5203490011751342</v>
      </c>
      <c r="E136" s="55" t="s">
        <v>188</v>
      </c>
      <c r="F136" s="59"/>
    </row>
    <row r="137" spans="1:6" ht="51.75" customHeight="1">
      <c r="A137" s="395" t="s">
        <v>70</v>
      </c>
      <c r="B137" s="390"/>
      <c r="C137" s="390"/>
      <c r="D137" s="390"/>
      <c r="E137" s="390"/>
      <c r="F137" s="390"/>
    </row>
    <row r="138" spans="1:4" ht="12" customHeight="1">
      <c r="A138" s="9"/>
      <c r="C138" s="20"/>
      <c r="D138" s="23"/>
    </row>
    <row r="139" spans="1:6" ht="36" customHeight="1">
      <c r="A139" s="52" t="s">
        <v>146</v>
      </c>
      <c r="B139" s="393" t="s">
        <v>44</v>
      </c>
      <c r="C139" s="390"/>
      <c r="D139" s="390"/>
      <c r="E139" s="390"/>
      <c r="F139" s="390"/>
    </row>
    <row r="140" spans="1:3" ht="12">
      <c r="A140" s="3" t="s">
        <v>147</v>
      </c>
      <c r="B140" s="63" t="s">
        <v>143</v>
      </c>
      <c r="C140" s="61"/>
    </row>
    <row r="141" spans="1:3" ht="12">
      <c r="A141" s="64" t="s">
        <v>103</v>
      </c>
      <c r="B141" s="62"/>
      <c r="C141" s="30"/>
    </row>
    <row r="142" ht="12">
      <c r="A142" s="61" t="s">
        <v>45</v>
      </c>
    </row>
    <row r="143" ht="12.75">
      <c r="A143" s="21"/>
    </row>
    <row r="144" spans="1:5" ht="12.75">
      <c r="A144" t="s">
        <v>139</v>
      </c>
      <c r="D144" s="11">
        <v>9800</v>
      </c>
      <c r="E144" s="7" t="s">
        <v>188</v>
      </c>
    </row>
    <row r="145" spans="1:5" ht="12.75">
      <c r="A145" t="s">
        <v>156</v>
      </c>
      <c r="D145" s="11">
        <v>5200</v>
      </c>
      <c r="E145" s="7" t="s">
        <v>188</v>
      </c>
    </row>
    <row r="146" spans="1:5" ht="12.75">
      <c r="A146" t="s">
        <v>155</v>
      </c>
      <c r="D146" s="11">
        <v>4550</v>
      </c>
      <c r="E146" s="7" t="s">
        <v>188</v>
      </c>
    </row>
    <row r="147" spans="1:5" ht="12.75">
      <c r="A147" t="s">
        <v>140</v>
      </c>
      <c r="D147" s="11">
        <v>3150</v>
      </c>
      <c r="E147" s="7" t="s">
        <v>188</v>
      </c>
    </row>
    <row r="148" spans="1:5" ht="12.75">
      <c r="A148" t="s">
        <v>141</v>
      </c>
      <c r="D148" s="11">
        <v>1300</v>
      </c>
      <c r="E148" s="7" t="s">
        <v>188</v>
      </c>
    </row>
    <row r="149" spans="1:5" ht="12.75">
      <c r="A149" t="s">
        <v>157</v>
      </c>
      <c r="D149" s="11">
        <v>620</v>
      </c>
      <c r="E149" s="7" t="s">
        <v>188</v>
      </c>
    </row>
    <row r="150" ht="12.75"/>
    <row r="151" ht="12">
      <c r="A151" t="s">
        <v>56</v>
      </c>
    </row>
    <row r="152" ht="12">
      <c r="A152" t="s">
        <v>57</v>
      </c>
    </row>
    <row r="154" spans="1:6" ht="18">
      <c r="A154" s="42" t="s">
        <v>142</v>
      </c>
      <c r="B154" s="43"/>
      <c r="C154" s="43"/>
      <c r="D154" s="75"/>
      <c r="E154" s="76"/>
      <c r="F154" s="46"/>
    </row>
    <row r="156" ht="12">
      <c r="A156" s="1" t="s">
        <v>160</v>
      </c>
    </row>
    <row r="157" ht="12">
      <c r="A157" s="1" t="s">
        <v>161</v>
      </c>
    </row>
    <row r="158" ht="12">
      <c r="A158" s="1" t="s">
        <v>162</v>
      </c>
    </row>
    <row r="159" ht="12">
      <c r="A159" s="1" t="s">
        <v>163</v>
      </c>
    </row>
    <row r="160" spans="1:4" ht="18">
      <c r="A160" s="3" t="s">
        <v>106</v>
      </c>
      <c r="D160" s="72" t="s">
        <v>164</v>
      </c>
    </row>
    <row r="161" spans="1:6" ht="12.75" thickBot="1">
      <c r="A161" t="s">
        <v>127</v>
      </c>
      <c r="B161" s="16">
        <v>1</v>
      </c>
      <c r="C161" s="47"/>
      <c r="D161" s="37">
        <f>B161*0.07*SUM(D31:D52)</f>
        <v>0.17500000000000002</v>
      </c>
      <c r="E161" s="31" t="s">
        <v>188</v>
      </c>
      <c r="F161" t="s">
        <v>36</v>
      </c>
    </row>
    <row r="162" spans="1:6" ht="12.75" thickBot="1">
      <c r="A162" s="89" t="s">
        <v>151</v>
      </c>
      <c r="B162" s="16">
        <v>1</v>
      </c>
      <c r="C162" s="47"/>
      <c r="D162" s="37">
        <f>B162*0.1*(SUM(D31:D52)-D161)</f>
        <v>0.23250000000000004</v>
      </c>
      <c r="E162" s="31" t="s">
        <v>188</v>
      </c>
      <c r="F162" t="s">
        <v>37</v>
      </c>
    </row>
    <row r="163" spans="1:6" ht="12.75" thickBot="1">
      <c r="A163" s="89" t="s">
        <v>33</v>
      </c>
      <c r="B163" s="16">
        <v>1</v>
      </c>
      <c r="C163" s="47"/>
      <c r="D163" s="37">
        <f>B163*0.1*(SUM(D31:D52)-SUM(D161:D162))</f>
        <v>0.20925</v>
      </c>
      <c r="E163" s="31" t="s">
        <v>188</v>
      </c>
      <c r="F163" t="s">
        <v>85</v>
      </c>
    </row>
    <row r="164" spans="1:6" ht="12.75" thickBot="1">
      <c r="A164" s="89" t="s">
        <v>34</v>
      </c>
      <c r="B164" s="16">
        <v>1</v>
      </c>
      <c r="C164" s="47"/>
      <c r="D164" s="37">
        <f>B164*0.1*(SUM(D31:D52)-SUM(D161:D163))</f>
        <v>0.188325</v>
      </c>
      <c r="E164" s="31" t="s">
        <v>188</v>
      </c>
      <c r="F164" t="s">
        <v>85</v>
      </c>
    </row>
    <row r="165" spans="1:6" ht="13.5" thickBot="1">
      <c r="A165" t="s">
        <v>58</v>
      </c>
      <c r="B165" s="16">
        <v>1</v>
      </c>
      <c r="D165" s="38">
        <f>B165*(SUM(D31:D52)-SUM(D161:D164))*0.1</f>
        <v>0.16949250000000002</v>
      </c>
      <c r="E165" s="39" t="s">
        <v>188</v>
      </c>
      <c r="F165" t="s">
        <v>85</v>
      </c>
    </row>
    <row r="166" spans="1:6" ht="13.5" thickBot="1">
      <c r="A166" s="89" t="s">
        <v>35</v>
      </c>
      <c r="B166" s="16">
        <v>0</v>
      </c>
      <c r="C166" s="47"/>
      <c r="D166" s="37">
        <f>B166*0.3*(SUM(D31:D52)-SUM(D161:D165))</f>
        <v>0</v>
      </c>
      <c r="E166" s="31" t="s">
        <v>188</v>
      </c>
      <c r="F166" t="s">
        <v>86</v>
      </c>
    </row>
    <row r="167" spans="1:6" ht="13.5" thickBot="1">
      <c r="A167" t="s">
        <v>166</v>
      </c>
      <c r="B167" s="16">
        <v>1</v>
      </c>
      <c r="D167" s="38">
        <f>MAX(0,B167*(SUM(D31:D52)-SUM(D161:D166))*(1-(B17/800)))</f>
        <v>1.5254325</v>
      </c>
      <c r="E167" s="39" t="s">
        <v>188</v>
      </c>
      <c r="F167" t="s">
        <v>125</v>
      </c>
    </row>
    <row r="168" spans="1:6" ht="13.5" thickBot="1">
      <c r="A168" t="s">
        <v>126</v>
      </c>
      <c r="B168" s="16">
        <v>10</v>
      </c>
      <c r="D168" s="38">
        <f>B168*SUM(D60:D61)/100</f>
        <v>0</v>
      </c>
      <c r="E168" s="39" t="s">
        <v>188</v>
      </c>
      <c r="F168" t="s">
        <v>130</v>
      </c>
    </row>
    <row r="169" spans="1:6" ht="13.5" thickBot="1">
      <c r="A169" t="s">
        <v>197</v>
      </c>
      <c r="B169" s="16">
        <v>0</v>
      </c>
      <c r="D169" s="38" t="e">
        <f>B169*(SUM(D60:D61)-D168)*(1-(83/B17))</f>
        <v>#DIV/0!</v>
      </c>
      <c r="E169" s="39" t="s">
        <v>188</v>
      </c>
      <c r="F169" t="s">
        <v>67</v>
      </c>
    </row>
    <row r="170" spans="1:6" ht="13.5" thickBot="1">
      <c r="A170" t="s">
        <v>165</v>
      </c>
      <c r="B170" s="16">
        <v>10</v>
      </c>
      <c r="D170" s="38">
        <f>B170*SUM(D67:D99)/100</f>
        <v>0</v>
      </c>
      <c r="E170" s="39" t="s">
        <v>188</v>
      </c>
      <c r="F170" t="s">
        <v>131</v>
      </c>
    </row>
    <row r="171" spans="1:6" ht="13.5" thickBot="1">
      <c r="A171" t="s">
        <v>138</v>
      </c>
      <c r="B171" s="16">
        <v>20</v>
      </c>
      <c r="D171" s="38">
        <f>B171*0.7*SUM(D67:D99)/100</f>
        <v>0</v>
      </c>
      <c r="E171" s="39" t="s">
        <v>188</v>
      </c>
      <c r="F171" t="s">
        <v>242</v>
      </c>
    </row>
    <row r="172" spans="1:6" ht="12.75" thickBot="1">
      <c r="A172" t="s">
        <v>158</v>
      </c>
      <c r="B172" s="16">
        <v>20</v>
      </c>
      <c r="D172" s="38">
        <f>B172*SUM(D67:D99)*(1-B17/800)/100</f>
        <v>0</v>
      </c>
      <c r="E172" s="39" t="s">
        <v>188</v>
      </c>
      <c r="F172" t="s">
        <v>132</v>
      </c>
    </row>
    <row r="173" spans="1:6" ht="12.75" thickBot="1">
      <c r="A173" t="s">
        <v>243</v>
      </c>
      <c r="B173" s="16">
        <v>0</v>
      </c>
      <c r="D173" s="38">
        <f>MAX(0,(B173*SUM(D67:D99)*(1-B17/800))-SUM(D170:D172))</f>
        <v>0</v>
      </c>
      <c r="E173" s="39" t="s">
        <v>188</v>
      </c>
      <c r="F173" t="s">
        <v>133</v>
      </c>
    </row>
    <row r="174" spans="1:6" ht="12.75" thickBot="1">
      <c r="A174" t="s">
        <v>99</v>
      </c>
      <c r="B174" s="16">
        <v>100</v>
      </c>
      <c r="D174" s="40">
        <f>MAX(0,B174*SUM(D116:D124)/100)</f>
        <v>0</v>
      </c>
      <c r="E174" s="41" t="s">
        <v>188</v>
      </c>
      <c r="F174" t="s">
        <v>244</v>
      </c>
    </row>
    <row r="175" spans="1:6" ht="12">
      <c r="A175" t="s">
        <v>59</v>
      </c>
      <c r="B175" s="16">
        <v>10</v>
      </c>
      <c r="D175" s="40">
        <f>B175*150*B17/1000</f>
        <v>0</v>
      </c>
      <c r="E175" s="41" t="s">
        <v>188</v>
      </c>
      <c r="F175" t="s">
        <v>107</v>
      </c>
    </row>
    <row r="176" spans="1:5" ht="12">
      <c r="A176" t="s">
        <v>40</v>
      </c>
      <c r="D176" s="16"/>
      <c r="E176" s="7" t="s">
        <v>188</v>
      </c>
    </row>
    <row r="178" spans="1:6" ht="18">
      <c r="A178" s="32" t="s">
        <v>108</v>
      </c>
      <c r="B178" s="60"/>
      <c r="C178" s="35"/>
      <c r="D178" s="60" t="e">
        <f>MIN(SUM(D161:D176),D129)</f>
        <v>#DIV/0!</v>
      </c>
      <c r="E178" s="35" t="s">
        <v>188</v>
      </c>
      <c r="F178" s="36"/>
    </row>
    <row r="179" spans="1:6" ht="18">
      <c r="A179" s="32" t="s">
        <v>171</v>
      </c>
      <c r="B179" s="78" t="e">
        <f>100*D178/D129</f>
        <v>#DIV/0!</v>
      </c>
      <c r="C179" s="35" t="s">
        <v>136</v>
      </c>
      <c r="D179" s="78"/>
      <c r="E179" s="35"/>
      <c r="F179" s="36"/>
    </row>
    <row r="181" spans="1:7" ht="18">
      <c r="A181" s="392" t="s">
        <v>109</v>
      </c>
      <c r="B181" s="392"/>
      <c r="C181" s="382"/>
      <c r="D181" s="60" t="e">
        <f>D129-D178</f>
        <v>#DIV/0!</v>
      </c>
      <c r="E181" s="77" t="s">
        <v>188</v>
      </c>
      <c r="F181" s="35"/>
      <c r="G181" t="s">
        <v>117</v>
      </c>
    </row>
    <row r="183" spans="1:6" s="85" customFormat="1" ht="22.5">
      <c r="A183" s="80" t="s">
        <v>159</v>
      </c>
      <c r="B183" s="81"/>
      <c r="C183" s="81"/>
      <c r="D183" s="82"/>
      <c r="E183" s="83"/>
      <c r="F183" s="84"/>
    </row>
    <row r="184" spans="1:11" s="85" customFormat="1" ht="12">
      <c r="A184"/>
      <c r="B184" s="10"/>
      <c r="C184" s="10"/>
      <c r="D184" s="11"/>
      <c r="E184" s="7"/>
      <c r="F184"/>
      <c r="G184"/>
      <c r="H184"/>
      <c r="I184"/>
      <c r="J184"/>
      <c r="K184"/>
    </row>
    <row r="185" spans="1:16" ht="18">
      <c r="A185" s="391" t="s">
        <v>236</v>
      </c>
      <c r="B185" s="391"/>
      <c r="C185" s="391"/>
      <c r="D185" s="391"/>
      <c r="E185" s="391"/>
      <c r="F185" s="117" t="e">
        <f>D178/30</f>
        <v>#DIV/0!</v>
      </c>
      <c r="G185" s="382" t="s">
        <v>241</v>
      </c>
      <c r="H185" s="382"/>
      <c r="I185" s="382"/>
      <c r="J185" s="382"/>
      <c r="K185" s="382"/>
      <c r="L185" s="382"/>
      <c r="M185" s="382"/>
      <c r="N185" s="382"/>
      <c r="O185" s="382"/>
      <c r="P185" s="382"/>
    </row>
    <row r="186" ht="19.5" customHeight="1">
      <c r="F186" s="115"/>
    </row>
    <row r="187" spans="1:7" ht="22.5">
      <c r="A187" s="32" t="s">
        <v>172</v>
      </c>
      <c r="B187" s="48"/>
      <c r="C187" s="79"/>
      <c r="D187" s="34"/>
      <c r="E187" s="35"/>
      <c r="F187" s="116"/>
      <c r="G187" t="s">
        <v>194</v>
      </c>
    </row>
    <row r="188" spans="1:7" ht="22.5">
      <c r="A188" s="32" t="s">
        <v>104</v>
      </c>
      <c r="B188" s="78" t="e">
        <f>B179*B15/100</f>
        <v>#DIV/0!</v>
      </c>
      <c r="C188" s="79" t="s">
        <v>170</v>
      </c>
      <c r="D188" s="34"/>
      <c r="E188" s="35"/>
      <c r="F188" s="116"/>
      <c r="G188" t="s">
        <v>194</v>
      </c>
    </row>
    <row r="189" ht="3" customHeight="1">
      <c r="F189" s="115"/>
    </row>
    <row r="190" spans="1:7" ht="22.5">
      <c r="A190" s="32" t="s">
        <v>73</v>
      </c>
      <c r="B190" s="33"/>
      <c r="C190" s="33"/>
      <c r="D190" s="34"/>
      <c r="E190" s="35"/>
      <c r="F190" s="118" t="e">
        <f>B188*30</f>
        <v>#DIV/0!</v>
      </c>
      <c r="G190" t="s">
        <v>118</v>
      </c>
    </row>
    <row r="191" ht="3" customHeight="1">
      <c r="F191" s="115"/>
    </row>
    <row r="192" spans="1:7" ht="22.5">
      <c r="A192" s="32" t="s">
        <v>41</v>
      </c>
      <c r="B192" s="33"/>
      <c r="C192" s="33"/>
      <c r="D192" s="34"/>
      <c r="E192" s="381" t="e">
        <f>B188*3000</f>
        <v>#DIV/0!</v>
      </c>
      <c r="F192" s="382"/>
      <c r="G192" t="s">
        <v>208</v>
      </c>
    </row>
    <row r="194" spans="1:6" ht="22.5">
      <c r="A194" s="99" t="s">
        <v>110</v>
      </c>
      <c r="B194" s="111"/>
      <c r="C194" s="111"/>
      <c r="D194" s="112"/>
      <c r="E194" s="113"/>
      <c r="F194" s="114"/>
    </row>
    <row r="196" ht="12">
      <c r="A196" t="s">
        <v>111</v>
      </c>
    </row>
    <row r="197" ht="12">
      <c r="A197" t="s">
        <v>112</v>
      </c>
    </row>
    <row r="198" ht="12">
      <c r="A198" t="s">
        <v>84</v>
      </c>
    </row>
    <row r="199" ht="12">
      <c r="A199" t="s">
        <v>116</v>
      </c>
    </row>
    <row r="200" ht="12">
      <c r="A200" t="s">
        <v>192</v>
      </c>
    </row>
    <row r="201" ht="12">
      <c r="A201" t="s">
        <v>81</v>
      </c>
    </row>
    <row r="202" ht="12">
      <c r="A202" t="s">
        <v>82</v>
      </c>
    </row>
    <row r="203" ht="12">
      <c r="A203" t="s">
        <v>191</v>
      </c>
    </row>
    <row r="204" spans="1:3" ht="12">
      <c r="A204" t="s">
        <v>83</v>
      </c>
      <c r="B204" s="16"/>
      <c r="C204" s="47" t="s">
        <v>121</v>
      </c>
    </row>
    <row r="205" spans="1:5" ht="12">
      <c r="A205" t="s">
        <v>90</v>
      </c>
      <c r="B205" s="11"/>
      <c r="C205" s="47"/>
      <c r="D205" s="90">
        <f>B16*15</f>
        <v>0</v>
      </c>
      <c r="E205" s="91" t="s">
        <v>92</v>
      </c>
    </row>
    <row r="206" spans="1:3" ht="12">
      <c r="A206" t="s">
        <v>120</v>
      </c>
      <c r="B206" s="16"/>
      <c r="C206" s="47" t="s">
        <v>91</v>
      </c>
    </row>
    <row r="207" spans="1:5" ht="12">
      <c r="A207" t="s">
        <v>43</v>
      </c>
      <c r="D207" s="90">
        <f>B16/10</f>
        <v>0</v>
      </c>
      <c r="E207" s="91" t="s">
        <v>134</v>
      </c>
    </row>
    <row r="209" spans="1:7" ht="18">
      <c r="A209" s="42" t="s">
        <v>122</v>
      </c>
      <c r="B209" s="43"/>
      <c r="C209" s="120">
        <f>B204*0.1</f>
        <v>0</v>
      </c>
      <c r="D209" s="73" t="s">
        <v>168</v>
      </c>
      <c r="E209" s="384"/>
      <c r="F209" s="384"/>
      <c r="G209" t="s">
        <v>209</v>
      </c>
    </row>
    <row r="210" ht="3" customHeight="1">
      <c r="C210" s="121"/>
    </row>
    <row r="211" spans="1:7" ht="18">
      <c r="A211" s="42" t="s">
        <v>123</v>
      </c>
      <c r="B211" s="43"/>
      <c r="C211" s="120">
        <f>B206</f>
        <v>0</v>
      </c>
      <c r="D211" s="73" t="s">
        <v>168</v>
      </c>
      <c r="E211" s="384"/>
      <c r="F211" s="384"/>
      <c r="G211" t="s">
        <v>235</v>
      </c>
    </row>
    <row r="212" ht="24.75" customHeight="1">
      <c r="C212" s="121"/>
    </row>
    <row r="213" spans="1:7" ht="18">
      <c r="A213" s="42" t="s">
        <v>94</v>
      </c>
      <c r="B213" s="43"/>
      <c r="C213" s="120">
        <f>B204*0.0035</f>
        <v>0</v>
      </c>
      <c r="D213" s="396" t="s">
        <v>169</v>
      </c>
      <c r="E213" s="382"/>
      <c r="F213" s="382"/>
      <c r="G213" t="s">
        <v>238</v>
      </c>
    </row>
    <row r="214" ht="3" customHeight="1">
      <c r="C214" s="121"/>
    </row>
    <row r="215" spans="1:7" ht="18">
      <c r="A215" s="42" t="s">
        <v>95</v>
      </c>
      <c r="B215" s="43"/>
      <c r="C215" s="120">
        <f>B206*11.9</f>
        <v>0</v>
      </c>
      <c r="D215" s="396" t="s">
        <v>169</v>
      </c>
      <c r="E215" s="382"/>
      <c r="F215" s="382"/>
      <c r="G215" t="s">
        <v>239</v>
      </c>
    </row>
    <row r="216" ht="24.75" customHeight="1"/>
    <row r="217" spans="1:7" ht="18">
      <c r="A217" s="42" t="s">
        <v>96</v>
      </c>
      <c r="B217" s="43"/>
      <c r="C217" s="43"/>
      <c r="D217" s="88">
        <f>(5*C213*B17/1000)-(4*C213*0.7)</f>
        <v>0</v>
      </c>
      <c r="E217" s="384" t="s">
        <v>240</v>
      </c>
      <c r="F217" s="384"/>
      <c r="G217" t="s">
        <v>167</v>
      </c>
    </row>
    <row r="218" ht="3" customHeight="1"/>
    <row r="219" spans="1:7" ht="18">
      <c r="A219" s="391" t="s">
        <v>97</v>
      </c>
      <c r="B219" s="391"/>
      <c r="C219" s="391"/>
      <c r="D219" s="88">
        <f>MIN(C215*B17/1000,C19)</f>
        <v>0</v>
      </c>
      <c r="E219" s="384" t="s">
        <v>240</v>
      </c>
      <c r="F219" s="384"/>
      <c r="G219" t="s">
        <v>193</v>
      </c>
    </row>
    <row r="220" ht="10.5" customHeight="1">
      <c r="A220" t="s">
        <v>0</v>
      </c>
    </row>
    <row r="221" spans="1:5" s="101" customFormat="1" ht="12">
      <c r="A221" s="101" t="s">
        <v>42</v>
      </c>
      <c r="B221" s="96"/>
      <c r="C221" s="96"/>
      <c r="D221" s="97"/>
      <c r="E221" s="100"/>
    </row>
    <row r="222" spans="2:5" s="101" customFormat="1" ht="12">
      <c r="B222" s="96"/>
      <c r="C222" s="96"/>
      <c r="D222" s="97"/>
      <c r="E222" s="100"/>
    </row>
    <row r="223" spans="1:7" ht="18">
      <c r="A223" s="42" t="s">
        <v>222</v>
      </c>
      <c r="B223" s="42"/>
      <c r="C223" s="122" t="e">
        <f>100*((D217+D219)/C19)*(SUM(D60:D61)/D129)</f>
        <v>#DIV/0!</v>
      </c>
      <c r="D223" s="73" t="s">
        <v>136</v>
      </c>
      <c r="E223" s="45"/>
      <c r="F223" s="46"/>
      <c r="G223" t="s">
        <v>207</v>
      </c>
    </row>
    <row r="224" ht="12">
      <c r="A224" s="74" t="s">
        <v>98</v>
      </c>
    </row>
    <row r="225" ht="12">
      <c r="A225" s="74" t="s">
        <v>49</v>
      </c>
    </row>
    <row r="226" ht="12">
      <c r="A226" t="s">
        <v>135</v>
      </c>
    </row>
    <row r="228" spans="1:6" ht="22.5">
      <c r="A228" s="42" t="s">
        <v>50</v>
      </c>
      <c r="B228" s="43"/>
      <c r="C228" s="43"/>
      <c r="D228" s="44"/>
      <c r="E228" s="384"/>
      <c r="F228" s="384"/>
    </row>
    <row r="229" spans="1:7" ht="18">
      <c r="A229" s="386" t="s">
        <v>278</v>
      </c>
      <c r="B229" s="386"/>
      <c r="C229" s="382"/>
      <c r="D229" s="117" t="e">
        <f>MAX(D129-D178-(C223*D129/100),0)</f>
        <v>#DIV/0!</v>
      </c>
      <c r="E229" s="45" t="s">
        <v>188</v>
      </c>
      <c r="F229" s="46"/>
      <c r="G229" t="s">
        <v>195</v>
      </c>
    </row>
    <row r="230" spans="1:6" ht="18">
      <c r="A230" s="42" t="s">
        <v>53</v>
      </c>
      <c r="B230" s="42"/>
      <c r="C230" s="43"/>
      <c r="D230" s="117" t="e">
        <f>MAX(D129-D178-(C223*C133),0)/C133</f>
        <v>#DIV/0!</v>
      </c>
      <c r="E230" s="45" t="s">
        <v>188</v>
      </c>
      <c r="F230" s="46"/>
    </row>
    <row r="231" spans="1:6" ht="18">
      <c r="A231" s="42" t="s">
        <v>54</v>
      </c>
      <c r="B231" s="42"/>
      <c r="C231" s="43"/>
      <c r="D231" s="117" t="e">
        <f>C223+B179</f>
        <v>#DIV/0!</v>
      </c>
      <c r="E231" s="45" t="s">
        <v>223</v>
      </c>
      <c r="F231" s="46"/>
    </row>
    <row r="233" spans="1:6" ht="18">
      <c r="A233" s="392" t="s">
        <v>51</v>
      </c>
      <c r="B233" s="382"/>
      <c r="C233" s="78" t="s">
        <v>46</v>
      </c>
      <c r="D233" s="35" t="s">
        <v>55</v>
      </c>
      <c r="E233" s="36"/>
      <c r="F233" s="36"/>
    </row>
    <row r="234" spans="1:3" ht="12">
      <c r="A234" s="3" t="s">
        <v>147</v>
      </c>
      <c r="B234" s="63"/>
      <c r="C234" s="61"/>
    </row>
    <row r="235" ht="12">
      <c r="A235" t="s">
        <v>47</v>
      </c>
    </row>
    <row r="236" ht="12">
      <c r="A236" t="s">
        <v>52</v>
      </c>
    </row>
    <row r="238" spans="1:6" ht="18">
      <c r="A238" s="42" t="s">
        <v>113</v>
      </c>
      <c r="B238" s="87"/>
      <c r="C238" s="87"/>
      <c r="D238" s="86"/>
      <c r="E238" s="45"/>
      <c r="F238" s="42"/>
    </row>
    <row r="240" ht="12.75">
      <c r="A240" t="s">
        <v>650</v>
      </c>
    </row>
    <row r="241" ht="12.75">
      <c r="A241" t="s">
        <v>72</v>
      </c>
    </row>
    <row r="242" ht="12.75"/>
    <row r="243" ht="12.75">
      <c r="A243" t="s">
        <v>234</v>
      </c>
    </row>
    <row r="244" ht="12.75"/>
    <row r="245" ht="25.5">
      <c r="A245" s="135" t="s">
        <v>237</v>
      </c>
    </row>
    <row r="246" spans="1:3" ht="12" customHeight="1">
      <c r="A246" s="385" t="s">
        <v>277</v>
      </c>
      <c r="B246" s="382"/>
      <c r="C246" s="382"/>
    </row>
    <row r="247" ht="12" customHeight="1">
      <c r="A247" s="64" t="s">
        <v>276</v>
      </c>
    </row>
    <row r="248" ht="12.75">
      <c r="A248" s="64"/>
    </row>
    <row r="249" ht="12.75">
      <c r="A249" s="61" t="s">
        <v>175</v>
      </c>
    </row>
    <row r="250" ht="12.75">
      <c r="A250" s="61" t="s">
        <v>48</v>
      </c>
    </row>
    <row r="251" ht="12">
      <c r="A251" s="61" t="s">
        <v>651</v>
      </c>
    </row>
    <row r="252" ht="12">
      <c r="A252" s="61" t="s">
        <v>652</v>
      </c>
    </row>
  </sheetData>
  <mergeCells count="34">
    <mergeCell ref="A233:B233"/>
    <mergeCell ref="E2:F12"/>
    <mergeCell ref="A137:F137"/>
    <mergeCell ref="E228:F228"/>
    <mergeCell ref="E217:F217"/>
    <mergeCell ref="D213:F213"/>
    <mergeCell ref="D215:F215"/>
    <mergeCell ref="A219:C219"/>
    <mergeCell ref="E219:F219"/>
    <mergeCell ref="A127:E127"/>
    <mergeCell ref="A185:E185"/>
    <mergeCell ref="A181:C181"/>
    <mergeCell ref="A131:E131"/>
    <mergeCell ref="B139:F139"/>
    <mergeCell ref="A19:B19"/>
    <mergeCell ref="A23:D23"/>
    <mergeCell ref="G185:P185"/>
    <mergeCell ref="G21:K21"/>
    <mergeCell ref="G23:K23"/>
    <mergeCell ref="A112:E112"/>
    <mergeCell ref="F118:K118"/>
    <mergeCell ref="F119:K119"/>
    <mergeCell ref="F114:K114"/>
    <mergeCell ref="A21:E21"/>
    <mergeCell ref="E192:F192"/>
    <mergeCell ref="E23:F23"/>
    <mergeCell ref="E209:F209"/>
    <mergeCell ref="A246:C246"/>
    <mergeCell ref="A229:C229"/>
    <mergeCell ref="F121:K121"/>
    <mergeCell ref="E211:F211"/>
    <mergeCell ref="F117:G117"/>
    <mergeCell ref="F120:K120"/>
    <mergeCell ref="F122:K122"/>
  </mergeCells>
  <printOptions gridLines="1"/>
  <pageMargins left="0.5" right="0.5" top="0.5" bottom="0.5" header="0.5" footer="0.5"/>
  <pageSetup fitToHeight="1" fitToWidth="1" orientation="portrait" paperSize="9" scale="79"/>
  <drawing r:id="rId1"/>
</worksheet>
</file>

<file path=xl/worksheets/sheet2.xml><?xml version="1.0" encoding="utf-8"?>
<worksheet xmlns="http://schemas.openxmlformats.org/spreadsheetml/2006/main" xmlns:r="http://schemas.openxmlformats.org/officeDocument/2006/relationships">
  <dimension ref="A1:F23"/>
  <sheetViews>
    <sheetView workbookViewId="0" topLeftCell="A1">
      <selection activeCell="E6" sqref="E6"/>
    </sheetView>
  </sheetViews>
  <sheetFormatPr defaultColWidth="11.421875" defaultRowHeight="12.75"/>
  <sheetData>
    <row r="1" spans="1:3" ht="12">
      <c r="A1" s="397" t="s">
        <v>3</v>
      </c>
      <c r="B1" s="397"/>
      <c r="C1" s="397"/>
    </row>
    <row r="3" spans="1:2" ht="12">
      <c r="A3" t="s">
        <v>4</v>
      </c>
      <c r="B3">
        <v>83</v>
      </c>
    </row>
    <row r="4" spans="1:2" ht="12">
      <c r="A4" t="s">
        <v>6</v>
      </c>
      <c r="B4">
        <v>87</v>
      </c>
    </row>
    <row r="5" spans="1:2" ht="12">
      <c r="A5" t="s">
        <v>7</v>
      </c>
      <c r="B5">
        <v>220</v>
      </c>
    </row>
    <row r="6" spans="1:2" ht="12">
      <c r="A6" t="s">
        <v>8</v>
      </c>
      <c r="B6">
        <v>250</v>
      </c>
    </row>
    <row r="7" spans="1:2" ht="12">
      <c r="A7" t="s">
        <v>9</v>
      </c>
      <c r="B7">
        <v>335</v>
      </c>
    </row>
    <row r="8" spans="1:2" ht="12">
      <c r="A8" t="s">
        <v>10</v>
      </c>
      <c r="B8">
        <v>353</v>
      </c>
    </row>
    <row r="9" spans="1:2" ht="12">
      <c r="A9" t="s">
        <v>11</v>
      </c>
      <c r="B9">
        <v>399</v>
      </c>
    </row>
    <row r="10" spans="1:2" ht="12">
      <c r="A10" t="s">
        <v>12</v>
      </c>
      <c r="B10">
        <v>408</v>
      </c>
    </row>
    <row r="11" spans="1:2" ht="12">
      <c r="A11" t="s">
        <v>13</v>
      </c>
      <c r="B11">
        <v>483</v>
      </c>
    </row>
    <row r="12" spans="1:2" ht="12">
      <c r="A12" t="s">
        <v>14</v>
      </c>
      <c r="B12">
        <v>525</v>
      </c>
    </row>
    <row r="13" spans="1:2" ht="12">
      <c r="A13" t="s">
        <v>15</v>
      </c>
      <c r="B13">
        <v>580</v>
      </c>
    </row>
    <row r="14" spans="1:2" ht="12">
      <c r="A14" t="s">
        <v>16</v>
      </c>
      <c r="B14">
        <v>590</v>
      </c>
    </row>
    <row r="15" spans="1:2" ht="12">
      <c r="A15" t="s">
        <v>17</v>
      </c>
      <c r="B15">
        <v>601</v>
      </c>
    </row>
    <row r="16" spans="1:2" ht="12">
      <c r="A16" t="s">
        <v>18</v>
      </c>
      <c r="B16">
        <v>613</v>
      </c>
    </row>
    <row r="17" spans="1:2" ht="12">
      <c r="A17" t="s">
        <v>19</v>
      </c>
      <c r="B17">
        <v>652</v>
      </c>
    </row>
    <row r="18" spans="1:2" ht="12">
      <c r="A18" t="s">
        <v>20</v>
      </c>
      <c r="B18">
        <v>667</v>
      </c>
    </row>
    <row r="19" spans="1:2" ht="12">
      <c r="A19" t="s">
        <v>21</v>
      </c>
      <c r="B19">
        <v>784</v>
      </c>
    </row>
    <row r="20" spans="1:2" ht="12">
      <c r="A20" t="s">
        <v>22</v>
      </c>
      <c r="B20">
        <v>864</v>
      </c>
    </row>
    <row r="21" spans="1:2" ht="12">
      <c r="A21" t="s">
        <v>23</v>
      </c>
      <c r="B21">
        <v>881</v>
      </c>
    </row>
    <row r="23" spans="1:6" ht="12">
      <c r="A23" s="398" t="s">
        <v>5</v>
      </c>
      <c r="B23" s="398"/>
      <c r="C23" s="398"/>
      <c r="D23" s="398"/>
      <c r="E23" s="398"/>
      <c r="F23" s="398"/>
    </row>
  </sheetData>
  <mergeCells count="2">
    <mergeCell ref="A1:C1"/>
    <mergeCell ref="A23:F2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R78"/>
  <sheetViews>
    <sheetView workbookViewId="0" topLeftCell="A58">
      <selection activeCell="A1" sqref="A1:R78"/>
    </sheetView>
  </sheetViews>
  <sheetFormatPr defaultColWidth="11.421875" defaultRowHeight="12.75"/>
  <sheetData>
    <row r="1" spans="1:18" ht="12.75" thickBot="1">
      <c r="A1" s="266" t="s">
        <v>478</v>
      </c>
      <c r="B1" s="267"/>
      <c r="C1" s="267"/>
      <c r="D1" s="267"/>
      <c r="E1" s="267"/>
      <c r="F1" s="267"/>
      <c r="G1" s="267"/>
      <c r="H1" s="268"/>
      <c r="I1" s="269" t="s">
        <v>479</v>
      </c>
      <c r="J1" s="123"/>
      <c r="K1" s="270" t="s">
        <v>480</v>
      </c>
      <c r="L1" s="267"/>
      <c r="M1" s="267"/>
      <c r="N1" s="271"/>
      <c r="O1" s="272"/>
      <c r="P1" s="273"/>
      <c r="Q1" s="273"/>
      <c r="R1" s="123"/>
    </row>
    <row r="2" spans="1:18" ht="12">
      <c r="A2" s="274" t="s">
        <v>328</v>
      </c>
      <c r="B2" s="275" t="s">
        <v>329</v>
      </c>
      <c r="C2" s="276"/>
      <c r="D2" s="277" t="s">
        <v>330</v>
      </c>
      <c r="E2" s="278"/>
      <c r="F2" s="123"/>
      <c r="G2" s="279" t="s">
        <v>331</v>
      </c>
      <c r="H2" s="280"/>
      <c r="I2" s="281"/>
      <c r="J2" s="282"/>
      <c r="K2" s="274" t="s">
        <v>328</v>
      </c>
      <c r="L2" s="283"/>
      <c r="M2" s="283"/>
      <c r="N2" s="399" t="s">
        <v>331</v>
      </c>
      <c r="O2" s="400"/>
      <c r="P2" s="400"/>
      <c r="Q2" s="401"/>
      <c r="R2" s="126"/>
    </row>
    <row r="3" spans="1:18" ht="12">
      <c r="A3" s="137"/>
      <c r="B3" s="282" t="s">
        <v>332</v>
      </c>
      <c r="C3" s="284" t="s">
        <v>333</v>
      </c>
      <c r="D3" s="282"/>
      <c r="E3" s="285" t="s">
        <v>334</v>
      </c>
      <c r="F3" s="126"/>
      <c r="G3" s="127"/>
      <c r="H3" s="132"/>
      <c r="I3" s="175"/>
      <c r="J3" s="127"/>
      <c r="K3" s="126"/>
      <c r="L3" s="127"/>
      <c r="M3" s="127"/>
      <c r="N3" s="129"/>
      <c r="O3" s="201"/>
      <c r="P3" s="201"/>
      <c r="Q3" s="286"/>
      <c r="R3" s="126"/>
    </row>
    <row r="4" spans="1:18" ht="12">
      <c r="A4" s="137"/>
      <c r="B4" s="127"/>
      <c r="C4" s="287"/>
      <c r="D4" s="127"/>
      <c r="E4" s="132"/>
      <c r="F4" s="126"/>
      <c r="G4" s="127"/>
      <c r="H4" s="132"/>
      <c r="I4" s="288"/>
      <c r="J4" s="127"/>
      <c r="K4" s="126"/>
      <c r="L4" s="127"/>
      <c r="M4" s="127"/>
      <c r="N4" s="129"/>
      <c r="O4" s="201"/>
      <c r="P4" s="201"/>
      <c r="Q4" s="286"/>
      <c r="R4" s="126"/>
    </row>
    <row r="5" spans="1:18" ht="24">
      <c r="A5" s="151" t="s">
        <v>335</v>
      </c>
      <c r="B5" s="189"/>
      <c r="C5" s="289"/>
      <c r="D5" s="290"/>
      <c r="E5" s="291"/>
      <c r="F5" s="159" t="s">
        <v>256</v>
      </c>
      <c r="G5" s="157" t="s">
        <v>336</v>
      </c>
      <c r="H5" s="160"/>
      <c r="I5" s="178"/>
      <c r="J5" s="162"/>
      <c r="K5" s="292"/>
      <c r="L5" s="189"/>
      <c r="M5" s="189"/>
      <c r="N5" s="293"/>
      <c r="O5" s="294"/>
      <c r="P5" s="294"/>
      <c r="Q5" s="295"/>
      <c r="R5" s="296"/>
    </row>
    <row r="6" spans="1:18" ht="12">
      <c r="A6" s="297" t="s">
        <v>337</v>
      </c>
      <c r="B6" s="153"/>
      <c r="C6" s="298"/>
      <c r="D6" s="299"/>
      <c r="E6" s="300"/>
      <c r="F6" s="301">
        <v>0.117</v>
      </c>
      <c r="G6" s="302">
        <v>0.43</v>
      </c>
      <c r="H6" s="303"/>
      <c r="I6" s="124"/>
      <c r="J6" s="125"/>
      <c r="K6" s="126"/>
      <c r="L6" s="127"/>
      <c r="M6" s="127"/>
      <c r="N6" s="129"/>
      <c r="O6" s="201"/>
      <c r="P6" s="201"/>
      <c r="Q6" s="286"/>
      <c r="R6" s="296"/>
    </row>
    <row r="7" spans="1:18" ht="24">
      <c r="A7" s="304" t="s">
        <v>338</v>
      </c>
      <c r="B7" s="127"/>
      <c r="C7" s="284"/>
      <c r="D7" s="282"/>
      <c r="E7" s="305"/>
      <c r="F7" s="142"/>
      <c r="G7" s="162" t="s">
        <v>339</v>
      </c>
      <c r="H7" s="144"/>
      <c r="I7" s="124"/>
      <c r="J7" s="125"/>
      <c r="K7" s="126"/>
      <c r="L7" s="127"/>
      <c r="M7" s="127"/>
      <c r="N7" s="129"/>
      <c r="O7" s="201"/>
      <c r="P7" s="201"/>
      <c r="Q7" s="286"/>
      <c r="R7" s="296"/>
    </row>
    <row r="8" spans="1:18" ht="12">
      <c r="A8" s="297" t="s">
        <v>340</v>
      </c>
      <c r="B8" s="127"/>
      <c r="C8" s="298"/>
      <c r="D8" s="299"/>
      <c r="E8" s="300"/>
      <c r="F8" s="301">
        <v>0.0453</v>
      </c>
      <c r="G8" s="302">
        <v>0.1661</v>
      </c>
      <c r="H8" s="144"/>
      <c r="I8" s="124"/>
      <c r="J8" s="125"/>
      <c r="K8" s="126"/>
      <c r="L8" s="127"/>
      <c r="M8" s="127"/>
      <c r="N8" s="129"/>
      <c r="O8" s="201"/>
      <c r="P8" s="201"/>
      <c r="Q8" s="286"/>
      <c r="R8" s="296"/>
    </row>
    <row r="9" spans="1:18" ht="12">
      <c r="A9" s="137"/>
      <c r="B9" s="127"/>
      <c r="C9" s="237"/>
      <c r="D9" s="127"/>
      <c r="E9" s="132"/>
      <c r="F9" s="126"/>
      <c r="G9" s="127"/>
      <c r="H9" s="306"/>
      <c r="I9" s="307"/>
      <c r="J9" s="127"/>
      <c r="K9" s="183"/>
      <c r="L9" s="153"/>
      <c r="M9" s="153"/>
      <c r="N9" s="149"/>
      <c r="O9" s="150"/>
      <c r="P9" s="150"/>
      <c r="Q9" s="308"/>
      <c r="R9" s="296"/>
    </row>
    <row r="10" spans="1:18" ht="36">
      <c r="A10" s="309" t="s">
        <v>341</v>
      </c>
      <c r="B10" s="157" t="s">
        <v>253</v>
      </c>
      <c r="C10" s="156" t="s">
        <v>253</v>
      </c>
      <c r="D10" s="157" t="s">
        <v>254</v>
      </c>
      <c r="E10" s="160" t="s">
        <v>255</v>
      </c>
      <c r="F10" s="159" t="s">
        <v>256</v>
      </c>
      <c r="G10" s="157" t="s">
        <v>257</v>
      </c>
      <c r="H10" s="177" t="s">
        <v>342</v>
      </c>
      <c r="I10" s="178" t="s">
        <v>343</v>
      </c>
      <c r="J10" s="162"/>
      <c r="K10" s="188" t="s">
        <v>344</v>
      </c>
      <c r="L10" s="310" t="s">
        <v>345</v>
      </c>
      <c r="M10" s="157" t="s">
        <v>293</v>
      </c>
      <c r="N10" s="191" t="s">
        <v>262</v>
      </c>
      <c r="O10" s="311" t="s">
        <v>290</v>
      </c>
      <c r="P10" s="312" t="s">
        <v>346</v>
      </c>
      <c r="Q10" s="313" t="s">
        <v>347</v>
      </c>
      <c r="R10" s="314"/>
    </row>
    <row r="11" spans="1:18" ht="12">
      <c r="A11" s="137" t="s">
        <v>348</v>
      </c>
      <c r="B11" s="138">
        <f>C11*0.95</f>
        <v>7046.15</v>
      </c>
      <c r="C11" s="139">
        <v>7417</v>
      </c>
      <c r="D11" s="140" t="s">
        <v>251</v>
      </c>
      <c r="E11" s="315" t="s">
        <v>251</v>
      </c>
      <c r="F11" s="142">
        <v>0.0817</v>
      </c>
      <c r="G11" s="143">
        <v>0.3</v>
      </c>
      <c r="H11" s="144">
        <f>G11*C11</f>
        <v>2225.1</v>
      </c>
      <c r="I11" s="145">
        <f>H11/1000</f>
        <v>2.2251</v>
      </c>
      <c r="J11" s="125"/>
      <c r="K11" s="126" t="s">
        <v>349</v>
      </c>
      <c r="L11" s="127" t="s">
        <v>350</v>
      </c>
      <c r="M11" s="128">
        <f>O11/N11</f>
        <v>5473.014942320131</v>
      </c>
      <c r="N11" s="129">
        <f>Q11*$L$60</f>
        <v>0.35191527123848515</v>
      </c>
      <c r="O11" s="130">
        <f>P11*$L$56</f>
        <v>1926.037537918871</v>
      </c>
      <c r="P11" s="316">
        <v>3852.16</v>
      </c>
      <c r="Q11" s="317">
        <v>227.4</v>
      </c>
      <c r="R11" s="296"/>
    </row>
    <row r="12" spans="1:18" ht="12">
      <c r="A12" s="137"/>
      <c r="B12" s="138">
        <f>C12*0.95</f>
        <v>0</v>
      </c>
      <c r="C12" s="139"/>
      <c r="D12" s="140"/>
      <c r="E12" s="141"/>
      <c r="F12" s="142"/>
      <c r="G12" s="143"/>
      <c r="H12" s="144"/>
      <c r="I12" s="124"/>
      <c r="J12" s="125"/>
      <c r="K12" s="126" t="s">
        <v>351</v>
      </c>
      <c r="L12" s="127" t="s">
        <v>352</v>
      </c>
      <c r="M12" s="128">
        <f>O12/N12</f>
        <v>7760.420451938961</v>
      </c>
      <c r="N12" s="129">
        <f>Q12*$L$60</f>
        <v>0.31771418287273967</v>
      </c>
      <c r="O12" s="130">
        <f>P12*$L$56</f>
        <v>2465.5956426366843</v>
      </c>
      <c r="P12" s="316">
        <v>4931.3</v>
      </c>
      <c r="Q12" s="317">
        <v>205.3</v>
      </c>
      <c r="R12" s="296"/>
    </row>
    <row r="13" spans="1:18" ht="12">
      <c r="A13" s="137"/>
      <c r="B13" s="138">
        <f>C13*0.95</f>
        <v>0</v>
      </c>
      <c r="C13" s="139"/>
      <c r="D13" s="140"/>
      <c r="E13" s="141"/>
      <c r="F13" s="142"/>
      <c r="G13" s="143"/>
      <c r="H13" s="144"/>
      <c r="I13" s="124"/>
      <c r="J13" s="125"/>
      <c r="K13" s="126" t="s">
        <v>246</v>
      </c>
      <c r="L13" s="127" t="s">
        <v>247</v>
      </c>
      <c r="M13" s="128">
        <f>O13/N13</f>
        <v>5644.289812513838</v>
      </c>
      <c r="N13" s="129">
        <f>Q13*$L$60</f>
        <v>0.329166131013306</v>
      </c>
      <c r="O13" s="130">
        <f>P13*$L$56</f>
        <v>1857.9090399029983</v>
      </c>
      <c r="P13" s="316">
        <v>3715.9</v>
      </c>
      <c r="Q13" s="317">
        <v>212.7</v>
      </c>
      <c r="R13" s="296"/>
    </row>
    <row r="14" spans="1:18" ht="12">
      <c r="A14" s="137"/>
      <c r="B14" s="131"/>
      <c r="C14" s="139"/>
      <c r="D14" s="127"/>
      <c r="E14" s="132"/>
      <c r="F14" s="142"/>
      <c r="G14" s="143"/>
      <c r="H14" s="144"/>
      <c r="I14" s="124"/>
      <c r="J14" s="125"/>
      <c r="K14" s="126" t="s">
        <v>248</v>
      </c>
      <c r="L14" s="127" t="s">
        <v>249</v>
      </c>
      <c r="M14" s="133">
        <f>O14/N14</f>
        <v>4187.166855806596</v>
      </c>
      <c r="N14" s="129">
        <f>Q14*$L$60</f>
        <v>0.3333445445240532</v>
      </c>
      <c r="O14" s="130">
        <f>P14*$L$56</f>
        <v>1395.7692283950616</v>
      </c>
      <c r="P14" s="316">
        <v>2791.6</v>
      </c>
      <c r="Q14" s="317">
        <v>215.4</v>
      </c>
      <c r="R14" s="296"/>
    </row>
    <row r="15" spans="1:18" ht="12">
      <c r="A15" s="137" t="s">
        <v>250</v>
      </c>
      <c r="B15" s="138">
        <f>C15*1</f>
        <v>8445</v>
      </c>
      <c r="C15" s="139">
        <v>8445</v>
      </c>
      <c r="D15" s="140" t="s">
        <v>251</v>
      </c>
      <c r="E15" s="141" t="s">
        <v>251</v>
      </c>
      <c r="F15" s="142">
        <v>0.1013</v>
      </c>
      <c r="G15" s="143">
        <v>0.373</v>
      </c>
      <c r="H15" s="144">
        <f>G15*C15</f>
        <v>3149.985</v>
      </c>
      <c r="I15" s="145">
        <f>H15/1000</f>
        <v>3.149985</v>
      </c>
      <c r="J15" s="125"/>
      <c r="K15" s="126"/>
      <c r="L15" s="127"/>
      <c r="M15" s="128"/>
      <c r="N15" s="129"/>
      <c r="O15" s="130"/>
      <c r="P15" s="316"/>
      <c r="Q15" s="317"/>
      <c r="R15" s="296"/>
    </row>
    <row r="16" spans="1:18" ht="12">
      <c r="A16" s="137"/>
      <c r="B16" s="146"/>
      <c r="C16" s="139"/>
      <c r="D16" s="127"/>
      <c r="E16" s="132"/>
      <c r="F16" s="142"/>
      <c r="G16" s="143"/>
      <c r="H16" s="144"/>
      <c r="I16" s="124"/>
      <c r="J16" s="125"/>
      <c r="K16" s="147"/>
      <c r="L16" s="148"/>
      <c r="M16" s="148"/>
      <c r="N16" s="149"/>
      <c r="O16" s="150"/>
      <c r="P16" s="150"/>
      <c r="Q16" s="308"/>
      <c r="R16" s="296"/>
    </row>
    <row r="17" spans="1:18" ht="36">
      <c r="A17" s="151" t="s">
        <v>252</v>
      </c>
      <c r="B17" s="152" t="s">
        <v>253</v>
      </c>
      <c r="C17" s="156" t="s">
        <v>253</v>
      </c>
      <c r="D17" s="157" t="s">
        <v>254</v>
      </c>
      <c r="E17" s="158" t="s">
        <v>255</v>
      </c>
      <c r="F17" s="159" t="s">
        <v>256</v>
      </c>
      <c r="G17" s="157" t="s">
        <v>257</v>
      </c>
      <c r="H17" s="160" t="s">
        <v>258</v>
      </c>
      <c r="I17" s="161" t="s">
        <v>259</v>
      </c>
      <c r="J17" s="162"/>
      <c r="K17" s="163" t="s">
        <v>260</v>
      </c>
      <c r="L17" s="127"/>
      <c r="M17" s="162" t="s">
        <v>261</v>
      </c>
      <c r="N17" s="164" t="s">
        <v>262</v>
      </c>
      <c r="O17" s="165" t="s">
        <v>263</v>
      </c>
      <c r="P17" s="318" t="s">
        <v>353</v>
      </c>
      <c r="Q17" s="319" t="s">
        <v>347</v>
      </c>
      <c r="R17" s="296"/>
    </row>
    <row r="18" spans="1:18" ht="12">
      <c r="A18" s="137" t="s">
        <v>264</v>
      </c>
      <c r="B18" s="138">
        <f>C18*0.95</f>
        <v>13367.449999999999</v>
      </c>
      <c r="C18" s="139">
        <v>14071</v>
      </c>
      <c r="D18" s="166">
        <v>2730</v>
      </c>
      <c r="E18" s="132">
        <v>5.2</v>
      </c>
      <c r="F18" s="142">
        <v>0.0545</v>
      </c>
      <c r="G18" s="143">
        <v>0.2</v>
      </c>
      <c r="H18" s="167">
        <f>G18*E18</f>
        <v>1.04</v>
      </c>
      <c r="I18" s="168">
        <f>H18*4.5461</f>
        <v>4.727944</v>
      </c>
      <c r="J18" s="169"/>
      <c r="K18" s="170" t="s">
        <v>265</v>
      </c>
      <c r="L18" s="127" t="s">
        <v>266</v>
      </c>
      <c r="M18" s="171">
        <f aca="true" t="shared" si="0" ref="M18:M28">O18/N18</f>
        <v>7.048160503446952</v>
      </c>
      <c r="N18" s="129">
        <f aca="true" t="shared" si="1" ref="N18:N28">Q18*$L$60</f>
        <v>0.21538638355510065</v>
      </c>
      <c r="O18" s="172">
        <f aca="true" t="shared" si="2" ref="O18:O28">P18*$L$64</f>
        <v>1.5180778015533365</v>
      </c>
      <c r="P18" s="316">
        <v>12.669</v>
      </c>
      <c r="Q18" s="317">
        <v>139.178</v>
      </c>
      <c r="R18" s="296"/>
    </row>
    <row r="19" spans="1:18" ht="12">
      <c r="A19" s="173" t="s">
        <v>267</v>
      </c>
      <c r="B19" s="138">
        <f>C19*0.95</f>
        <v>13034.949999999999</v>
      </c>
      <c r="C19" s="139">
        <v>13721</v>
      </c>
      <c r="D19" s="166">
        <v>1850</v>
      </c>
      <c r="E19" s="132">
        <v>7.4</v>
      </c>
      <c r="F19" s="142">
        <v>0.05734</v>
      </c>
      <c r="G19" s="143">
        <v>0.214</v>
      </c>
      <c r="H19" s="167">
        <f>G19*E19</f>
        <v>1.5836000000000001</v>
      </c>
      <c r="I19" s="168">
        <f>H19*4.5461</f>
        <v>7.19920396</v>
      </c>
      <c r="J19" s="169"/>
      <c r="K19" s="170" t="s">
        <v>378</v>
      </c>
      <c r="L19" s="127" t="s">
        <v>379</v>
      </c>
      <c r="M19" s="171">
        <f t="shared" si="0"/>
        <v>7.130943375686292</v>
      </c>
      <c r="N19" s="129">
        <f t="shared" si="1"/>
        <v>0.2151712726373251</v>
      </c>
      <c r="O19" s="172">
        <f t="shared" si="2"/>
        <v>1.5343741612511226</v>
      </c>
      <c r="P19" s="316">
        <v>12.805</v>
      </c>
      <c r="Q19" s="317">
        <v>139.039</v>
      </c>
      <c r="R19" s="296"/>
    </row>
    <row r="20" spans="1:18" ht="12">
      <c r="A20" s="173"/>
      <c r="B20" s="138">
        <f>Y20*$C$59*1000</f>
        <v>0</v>
      </c>
      <c r="C20" s="139"/>
      <c r="D20" s="166"/>
      <c r="E20" s="132"/>
      <c r="F20" s="142"/>
      <c r="G20" s="143"/>
      <c r="H20" s="167"/>
      <c r="I20" s="168"/>
      <c r="J20" s="169"/>
      <c r="K20" s="170"/>
      <c r="L20" s="127"/>
      <c r="M20" s="171"/>
      <c r="N20" s="129"/>
      <c r="O20" s="172"/>
      <c r="P20" s="316"/>
      <c r="Q20" s="317"/>
      <c r="R20" s="296"/>
    </row>
    <row r="21" spans="1:18" ht="12">
      <c r="A21" s="174"/>
      <c r="B21" s="138">
        <f>Y21*$C$59*1000</f>
        <v>0</v>
      </c>
      <c r="C21" s="139"/>
      <c r="D21" s="166"/>
      <c r="E21" s="132"/>
      <c r="F21" s="126"/>
      <c r="G21" s="127"/>
      <c r="H21" s="132"/>
      <c r="I21" s="175"/>
      <c r="J21" s="169"/>
      <c r="K21" s="170" t="s">
        <v>380</v>
      </c>
      <c r="L21" s="127" t="s">
        <v>381</v>
      </c>
      <c r="M21" s="171">
        <f t="shared" si="0"/>
        <v>9.306171364016098</v>
      </c>
      <c r="N21" s="129">
        <f t="shared" si="1"/>
        <v>0.23633880597065848</v>
      </c>
      <c r="O21" s="172">
        <f t="shared" si="2"/>
        <v>2.199409428329899</v>
      </c>
      <c r="P21" s="316">
        <v>18.355</v>
      </c>
      <c r="Q21" s="317">
        <v>152.717</v>
      </c>
      <c r="R21" s="296"/>
    </row>
    <row r="22" spans="1:18" ht="12">
      <c r="A22" s="173" t="s">
        <v>382</v>
      </c>
      <c r="B22" s="138">
        <f>C22*0.95</f>
        <v>12432.65</v>
      </c>
      <c r="C22" s="139">
        <v>13087</v>
      </c>
      <c r="D22" s="166">
        <v>1362</v>
      </c>
      <c r="E22" s="132">
        <v>9.6</v>
      </c>
      <c r="F22" s="142">
        <v>0.0655</v>
      </c>
      <c r="G22" s="143">
        <v>0.24</v>
      </c>
      <c r="H22" s="167">
        <f>G22*E22</f>
        <v>2.304</v>
      </c>
      <c r="I22" s="168">
        <f>H22*4.5461</f>
        <v>10.4742144</v>
      </c>
      <c r="J22" s="169"/>
      <c r="K22" s="170" t="s">
        <v>383</v>
      </c>
      <c r="L22" s="127" t="s">
        <v>384</v>
      </c>
      <c r="M22" s="171">
        <f t="shared" si="0"/>
        <v>9.684016732136532</v>
      </c>
      <c r="N22" s="129">
        <f t="shared" si="1"/>
        <v>0.24207716052541794</v>
      </c>
      <c r="O22" s="172">
        <f t="shared" si="2"/>
        <v>2.3442792729962485</v>
      </c>
      <c r="P22" s="316">
        <v>19.564</v>
      </c>
      <c r="Q22" s="317">
        <v>156.425</v>
      </c>
      <c r="R22" s="296"/>
    </row>
    <row r="23" spans="1:18" ht="12">
      <c r="A23" s="173" t="s">
        <v>385</v>
      </c>
      <c r="B23" s="138">
        <f>C23*0.95</f>
        <v>12202.75</v>
      </c>
      <c r="C23" s="139">
        <v>12845</v>
      </c>
      <c r="D23" s="166">
        <v>1251</v>
      </c>
      <c r="E23" s="132">
        <v>10.3</v>
      </c>
      <c r="F23" s="142">
        <v>0.0655</v>
      </c>
      <c r="G23" s="143">
        <v>0.24</v>
      </c>
      <c r="H23" s="167">
        <f>G23*E23</f>
        <v>2.472</v>
      </c>
      <c r="I23" s="168">
        <f>H23*4.5461</f>
        <v>11.2379592</v>
      </c>
      <c r="J23" s="169"/>
      <c r="K23" s="170" t="s">
        <v>386</v>
      </c>
      <c r="L23" s="127" t="s">
        <v>387</v>
      </c>
      <c r="M23" s="171">
        <f t="shared" si="0"/>
        <v>10.453008632237946</v>
      </c>
      <c r="N23" s="129">
        <f t="shared" si="1"/>
        <v>0.24181871791197543</v>
      </c>
      <c r="O23" s="172">
        <f t="shared" si="2"/>
        <v>2.527733145770592</v>
      </c>
      <c r="P23" s="316">
        <v>21.095</v>
      </c>
      <c r="Q23" s="317">
        <v>156.258</v>
      </c>
      <c r="R23" s="296"/>
    </row>
    <row r="24" spans="1:18" ht="12">
      <c r="A24" s="173"/>
      <c r="B24" s="138">
        <f>Y24*$C$59*1000</f>
        <v>0</v>
      </c>
      <c r="C24" s="139"/>
      <c r="D24" s="166"/>
      <c r="E24" s="132"/>
      <c r="F24" s="142"/>
      <c r="G24" s="143"/>
      <c r="H24" s="167"/>
      <c r="I24" s="168"/>
      <c r="J24" s="169"/>
      <c r="K24" s="170"/>
      <c r="L24" s="127"/>
      <c r="M24" s="171"/>
      <c r="N24" s="129"/>
      <c r="O24" s="172"/>
      <c r="P24" s="316"/>
      <c r="Q24" s="317"/>
      <c r="R24" s="296"/>
    </row>
    <row r="25" spans="1:18" ht="12">
      <c r="A25" s="137" t="s">
        <v>388</v>
      </c>
      <c r="B25" s="138">
        <f>C25*0.95</f>
        <v>12034.599999999999</v>
      </c>
      <c r="C25" s="139">
        <v>12668</v>
      </c>
      <c r="D25" s="166">
        <v>1187</v>
      </c>
      <c r="E25" s="132">
        <v>10.7</v>
      </c>
      <c r="F25" s="142">
        <v>0.068</v>
      </c>
      <c r="G25" s="143">
        <v>0.25</v>
      </c>
      <c r="H25" s="167">
        <f>G25*E25</f>
        <v>2.675</v>
      </c>
      <c r="I25" s="168">
        <f>H25*4.5461</f>
        <v>12.160817499999999</v>
      </c>
      <c r="J25" s="169"/>
      <c r="K25" s="170" t="s">
        <v>389</v>
      </c>
      <c r="L25" s="127" t="s">
        <v>390</v>
      </c>
      <c r="M25" s="171">
        <f t="shared" si="0"/>
        <v>10.452815191725845</v>
      </c>
      <c r="N25" s="129">
        <f t="shared" si="1"/>
        <v>0.24689007386557488</v>
      </c>
      <c r="O25" s="172">
        <f t="shared" si="2"/>
        <v>2.5806963147883972</v>
      </c>
      <c r="P25" s="316">
        <v>21.537</v>
      </c>
      <c r="Q25" s="317">
        <v>159.535</v>
      </c>
      <c r="R25" s="296"/>
    </row>
    <row r="26" spans="1:18" ht="12">
      <c r="A26" s="173" t="s">
        <v>391</v>
      </c>
      <c r="B26" s="138">
        <f>C26*0.95</f>
        <v>11482.65</v>
      </c>
      <c r="C26" s="139">
        <v>12087</v>
      </c>
      <c r="D26" s="166">
        <v>1142</v>
      </c>
      <c r="E26" s="132">
        <v>10.6</v>
      </c>
      <c r="F26" s="142">
        <v>0.0709</v>
      </c>
      <c r="G26" s="143">
        <v>0.26</v>
      </c>
      <c r="H26" s="167">
        <f>G26*E26</f>
        <v>2.756</v>
      </c>
      <c r="I26" s="168">
        <f>H26*4.5461</f>
        <v>12.529051599999999</v>
      </c>
      <c r="J26" s="169"/>
      <c r="K26" s="170" t="s">
        <v>392</v>
      </c>
      <c r="L26" s="127" t="s">
        <v>393</v>
      </c>
      <c r="M26" s="171">
        <f t="shared" si="0"/>
        <v>10.73929766862614</v>
      </c>
      <c r="N26" s="129">
        <f t="shared" si="1"/>
        <v>0.249754608461276</v>
      </c>
      <c r="O26" s="172">
        <f t="shared" si="2"/>
        <v>2.682189084376816</v>
      </c>
      <c r="P26" s="316">
        <v>22.384</v>
      </c>
      <c r="Q26" s="317">
        <v>161.386</v>
      </c>
      <c r="R26" s="296"/>
    </row>
    <row r="27" spans="1:18" ht="12">
      <c r="A27" s="173" t="s">
        <v>394</v>
      </c>
      <c r="B27" s="138">
        <f>C27*0.95</f>
        <v>11482.65</v>
      </c>
      <c r="C27" s="139">
        <v>12087</v>
      </c>
      <c r="D27" s="166">
        <v>1031</v>
      </c>
      <c r="E27" s="132">
        <v>11.7</v>
      </c>
      <c r="F27" s="142">
        <v>0.0709</v>
      </c>
      <c r="G27" s="143">
        <v>0.26</v>
      </c>
      <c r="H27" s="167">
        <f>G27*E27</f>
        <v>3.042</v>
      </c>
      <c r="I27" s="168">
        <f>H27*4.5461</f>
        <v>13.829236199999999</v>
      </c>
      <c r="J27" s="125"/>
      <c r="K27" s="170" t="s">
        <v>268</v>
      </c>
      <c r="L27" s="127" t="s">
        <v>269</v>
      </c>
      <c r="M27" s="171">
        <f t="shared" si="0"/>
        <v>11.590807496335714</v>
      </c>
      <c r="N27" s="129">
        <f t="shared" si="1"/>
        <v>0.26913006666666667</v>
      </c>
      <c r="O27" s="172">
        <f t="shared" si="2"/>
        <v>3.1194347942093303</v>
      </c>
      <c r="P27" s="316">
        <v>26.033</v>
      </c>
      <c r="Q27" s="317">
        <v>173.906</v>
      </c>
      <c r="R27" s="296"/>
    </row>
    <row r="28" spans="1:18" ht="12">
      <c r="A28" s="137" t="s">
        <v>270</v>
      </c>
      <c r="B28" s="138"/>
      <c r="C28" s="139"/>
      <c r="D28" s="127"/>
      <c r="E28" s="132"/>
      <c r="F28" s="142">
        <v>0.0927</v>
      </c>
      <c r="G28" s="143">
        <v>0.34</v>
      </c>
      <c r="H28" s="144"/>
      <c r="I28" s="124"/>
      <c r="J28" s="125"/>
      <c r="K28" s="170" t="s">
        <v>271</v>
      </c>
      <c r="L28" s="127" t="s">
        <v>272</v>
      </c>
      <c r="M28" s="171">
        <f t="shared" si="0"/>
        <v>11.142315849885982</v>
      </c>
      <c r="N28" s="129">
        <f t="shared" si="1"/>
        <v>0.34840230876833844</v>
      </c>
      <c r="O28" s="172">
        <f t="shared" si="2"/>
        <v>3.882008567126327</v>
      </c>
      <c r="P28" s="316">
        <v>32.397</v>
      </c>
      <c r="Q28" s="317">
        <v>225.13</v>
      </c>
      <c r="R28" s="296"/>
    </row>
    <row r="29" spans="1:18" ht="12">
      <c r="A29" s="137"/>
      <c r="B29" s="138"/>
      <c r="C29" s="139"/>
      <c r="D29" s="127"/>
      <c r="E29" s="132"/>
      <c r="F29" s="176"/>
      <c r="G29" s="162"/>
      <c r="H29" s="177"/>
      <c r="I29" s="178"/>
      <c r="J29" s="125"/>
      <c r="K29" s="170"/>
      <c r="L29" s="127"/>
      <c r="M29" s="171"/>
      <c r="N29" s="129"/>
      <c r="O29" s="172"/>
      <c r="P29" s="316"/>
      <c r="Q29" s="317"/>
      <c r="R29" s="296"/>
    </row>
    <row r="30" spans="1:18" ht="12">
      <c r="A30" s="174" t="s">
        <v>273</v>
      </c>
      <c r="B30" s="138">
        <f>C30*0.95</f>
        <v>12047.9</v>
      </c>
      <c r="C30" s="139">
        <v>12682</v>
      </c>
      <c r="D30" s="166">
        <v>1192</v>
      </c>
      <c r="E30" s="132">
        <v>10.6</v>
      </c>
      <c r="F30" s="179"/>
      <c r="G30" s="180"/>
      <c r="H30" s="181"/>
      <c r="I30" s="145"/>
      <c r="J30" s="125"/>
      <c r="K30" s="170"/>
      <c r="L30" s="127"/>
      <c r="M30" s="127"/>
      <c r="N30" s="129"/>
      <c r="O30" s="172"/>
      <c r="P30" s="316"/>
      <c r="Q30" s="317"/>
      <c r="R30" s="296"/>
    </row>
    <row r="31" spans="1:18" ht="12">
      <c r="A31" s="174" t="s">
        <v>274</v>
      </c>
      <c r="B31" s="138">
        <f>C31*0.95</f>
        <v>12113.449999999999</v>
      </c>
      <c r="C31" s="139">
        <v>12751</v>
      </c>
      <c r="D31" s="182" t="s">
        <v>251</v>
      </c>
      <c r="E31" s="141" t="s">
        <v>251</v>
      </c>
      <c r="F31" s="183"/>
      <c r="G31" s="153"/>
      <c r="H31" s="184"/>
      <c r="I31" s="185"/>
      <c r="J31" s="125"/>
      <c r="K31" s="126"/>
      <c r="L31" s="127"/>
      <c r="M31" s="127"/>
      <c r="N31" s="129"/>
      <c r="O31" s="186"/>
      <c r="P31" s="201"/>
      <c r="Q31" s="286"/>
      <c r="R31" s="296"/>
    </row>
    <row r="32" spans="1:18" ht="48">
      <c r="A32" s="151" t="s">
        <v>275</v>
      </c>
      <c r="B32" s="187" t="s">
        <v>411</v>
      </c>
      <c r="C32" s="156" t="s">
        <v>253</v>
      </c>
      <c r="D32" s="157" t="s">
        <v>254</v>
      </c>
      <c r="E32" s="158" t="s">
        <v>411</v>
      </c>
      <c r="F32" s="159" t="s">
        <v>256</v>
      </c>
      <c r="G32" s="157" t="s">
        <v>257</v>
      </c>
      <c r="H32" s="160" t="s">
        <v>412</v>
      </c>
      <c r="I32" s="161" t="s">
        <v>413</v>
      </c>
      <c r="J32" s="162"/>
      <c r="K32" s="188" t="s">
        <v>414</v>
      </c>
      <c r="L32" s="189"/>
      <c r="M32" s="190" t="s">
        <v>415</v>
      </c>
      <c r="N32" s="191" t="s">
        <v>262</v>
      </c>
      <c r="O32" s="192" t="s">
        <v>416</v>
      </c>
      <c r="P32" s="312" t="s">
        <v>354</v>
      </c>
      <c r="Q32" s="313" t="s">
        <v>347</v>
      </c>
      <c r="R32" s="296"/>
    </row>
    <row r="33" spans="1:18" ht="12">
      <c r="A33" s="137" t="s">
        <v>417</v>
      </c>
      <c r="B33" s="171">
        <f>E33*0.9</f>
        <v>9.9</v>
      </c>
      <c r="C33" s="193" t="s">
        <v>251</v>
      </c>
      <c r="D33" s="140" t="s">
        <v>251</v>
      </c>
      <c r="E33" s="132">
        <v>11</v>
      </c>
      <c r="F33" s="142">
        <v>0.0518</v>
      </c>
      <c r="G33" s="143">
        <v>0.19</v>
      </c>
      <c r="H33" s="194">
        <f>G33*E33</f>
        <v>2.09</v>
      </c>
      <c r="I33" s="195">
        <f>H33*100/35.31</f>
        <v>5.919003115264797</v>
      </c>
      <c r="J33" s="196"/>
      <c r="K33" s="126" t="s">
        <v>418</v>
      </c>
      <c r="L33" s="127" t="s">
        <v>419</v>
      </c>
      <c r="M33" s="128">
        <f>O33/N33</f>
        <v>10.660116597806512</v>
      </c>
      <c r="N33" s="129">
        <f>Q33*$L$60</f>
        <v>0.18118839031047423</v>
      </c>
      <c r="O33" s="172">
        <f>P33*$L$68</f>
        <v>1.931489366878531</v>
      </c>
      <c r="P33" s="316">
        <v>120.593</v>
      </c>
      <c r="Q33" s="317">
        <v>117.08</v>
      </c>
      <c r="R33" s="296"/>
    </row>
    <row r="34" spans="1:18" ht="12">
      <c r="A34" s="197" t="s">
        <v>420</v>
      </c>
      <c r="B34" s="128"/>
      <c r="C34" s="193"/>
      <c r="D34" s="140"/>
      <c r="E34" s="132"/>
      <c r="F34" s="142">
        <v>0.0545</v>
      </c>
      <c r="G34" s="143">
        <v>0.2</v>
      </c>
      <c r="H34" s="144"/>
      <c r="I34" s="124"/>
      <c r="J34" s="125"/>
      <c r="K34" s="126" t="s">
        <v>421</v>
      </c>
      <c r="L34" s="127" t="s">
        <v>422</v>
      </c>
      <c r="M34" s="128">
        <f>O34/N34</f>
        <v>11.467341825014925</v>
      </c>
      <c r="N34" s="129">
        <f>Q34*$L$60</f>
        <v>0.1868230583077448</v>
      </c>
      <c r="O34" s="172">
        <f>P34*$L$68</f>
        <v>2.142363870409604</v>
      </c>
      <c r="P34" s="316">
        <v>133.759</v>
      </c>
      <c r="Q34" s="317">
        <v>120.721</v>
      </c>
      <c r="R34" s="296"/>
    </row>
    <row r="35" spans="1:18" ht="12">
      <c r="A35" s="137" t="s">
        <v>423</v>
      </c>
      <c r="B35" s="171">
        <f>E35*0.9</f>
        <v>4.5</v>
      </c>
      <c r="C35" s="193" t="s">
        <v>251</v>
      </c>
      <c r="D35" s="140" t="s">
        <v>251</v>
      </c>
      <c r="E35" s="132">
        <v>5</v>
      </c>
      <c r="F35" s="126"/>
      <c r="G35" s="127"/>
      <c r="H35" s="132"/>
      <c r="I35" s="175"/>
      <c r="J35" s="127"/>
      <c r="K35" s="126" t="s">
        <v>424</v>
      </c>
      <c r="L35" s="127" t="s">
        <v>425</v>
      </c>
      <c r="M35" s="128">
        <f>O35/N35</f>
        <v>10.449966927550307</v>
      </c>
      <c r="N35" s="129">
        <f>Q35*$L$60</f>
        <v>0.17836873497099964</v>
      </c>
      <c r="O35" s="172">
        <f>P35*$L$68</f>
        <v>1.8639473813559322</v>
      </c>
      <c r="P35" s="316">
        <v>116.376</v>
      </c>
      <c r="Q35" s="317">
        <v>115.258</v>
      </c>
      <c r="R35" s="296"/>
    </row>
    <row r="36" spans="1:18" ht="12">
      <c r="A36" s="137" t="s">
        <v>426</v>
      </c>
      <c r="B36" s="198" t="s">
        <v>427</v>
      </c>
      <c r="C36" s="193" t="s">
        <v>251</v>
      </c>
      <c r="D36" s="140" t="s">
        <v>251</v>
      </c>
      <c r="E36" s="199" t="s">
        <v>428</v>
      </c>
      <c r="F36" s="126"/>
      <c r="G36" s="127"/>
      <c r="H36" s="132"/>
      <c r="I36" s="200"/>
      <c r="J36" s="127"/>
      <c r="K36" s="126" t="s">
        <v>429</v>
      </c>
      <c r="L36" s="127" t="s">
        <v>430</v>
      </c>
      <c r="M36" s="127"/>
      <c r="N36" s="129">
        <f>Q36*$L$60</f>
        <v>0.17836873497099964</v>
      </c>
      <c r="O36" s="130"/>
      <c r="P36" s="316"/>
      <c r="Q36" s="317">
        <v>115.258</v>
      </c>
      <c r="R36" s="320"/>
    </row>
    <row r="37" spans="1:18" ht="12">
      <c r="A37" s="137" t="s">
        <v>431</v>
      </c>
      <c r="B37" s="198" t="s">
        <v>427</v>
      </c>
      <c r="C37" s="193" t="s">
        <v>251</v>
      </c>
      <c r="D37" s="140" t="s">
        <v>251</v>
      </c>
      <c r="E37" s="199" t="s">
        <v>428</v>
      </c>
      <c r="F37" s="126"/>
      <c r="G37" s="127"/>
      <c r="H37" s="132"/>
      <c r="I37" s="175"/>
      <c r="J37" s="127"/>
      <c r="K37" s="126" t="s">
        <v>432</v>
      </c>
      <c r="L37" s="127" t="s">
        <v>432</v>
      </c>
      <c r="M37" s="127"/>
      <c r="N37" s="129"/>
      <c r="O37" s="201"/>
      <c r="P37" s="201"/>
      <c r="Q37" s="286"/>
      <c r="R37" s="320"/>
    </row>
    <row r="38" spans="1:18" ht="12">
      <c r="A38" s="137" t="s">
        <v>287</v>
      </c>
      <c r="B38" s="171">
        <f>E38*0.9</f>
        <v>0.747</v>
      </c>
      <c r="C38" s="193" t="s">
        <v>251</v>
      </c>
      <c r="D38" s="140" t="s">
        <v>251</v>
      </c>
      <c r="E38" s="199">
        <v>0.83</v>
      </c>
      <c r="F38" s="126"/>
      <c r="G38" s="127"/>
      <c r="H38" s="132"/>
      <c r="I38" s="175"/>
      <c r="J38" s="127"/>
      <c r="K38" s="126"/>
      <c r="L38" s="127"/>
      <c r="M38" s="127"/>
      <c r="N38" s="129"/>
      <c r="O38" s="201"/>
      <c r="P38" s="201"/>
      <c r="Q38" s="286"/>
      <c r="R38" s="320"/>
    </row>
    <row r="39" spans="1:18" ht="12">
      <c r="A39" s="137"/>
      <c r="B39" s="128"/>
      <c r="C39" s="193"/>
      <c r="D39" s="140"/>
      <c r="E39" s="132"/>
      <c r="F39" s="183"/>
      <c r="G39" s="153"/>
      <c r="H39" s="184"/>
      <c r="I39" s="185"/>
      <c r="J39" s="127"/>
      <c r="K39" s="183"/>
      <c r="L39" s="153"/>
      <c r="M39" s="153"/>
      <c r="N39" s="149"/>
      <c r="O39" s="150"/>
      <c r="P39" s="150"/>
      <c r="Q39" s="308"/>
      <c r="R39" s="320"/>
    </row>
    <row r="40" spans="1:18" ht="36">
      <c r="A40" s="151" t="s">
        <v>288</v>
      </c>
      <c r="B40" s="157" t="s">
        <v>289</v>
      </c>
      <c r="C40" s="156" t="s">
        <v>253</v>
      </c>
      <c r="D40" s="157" t="s">
        <v>254</v>
      </c>
      <c r="E40" s="158" t="s">
        <v>411</v>
      </c>
      <c r="F40" s="176" t="s">
        <v>256</v>
      </c>
      <c r="G40" s="162" t="s">
        <v>257</v>
      </c>
      <c r="H40" s="177" t="s">
        <v>290</v>
      </c>
      <c r="I40" s="178" t="s">
        <v>291</v>
      </c>
      <c r="J40" s="162"/>
      <c r="K40" s="163" t="s">
        <v>292</v>
      </c>
      <c r="L40" s="127"/>
      <c r="M40" s="190" t="s">
        <v>293</v>
      </c>
      <c r="N40" s="164" t="s">
        <v>262</v>
      </c>
      <c r="O40" s="165" t="s">
        <v>290</v>
      </c>
      <c r="P40" s="318" t="s">
        <v>346</v>
      </c>
      <c r="Q40" s="319" t="s">
        <v>347</v>
      </c>
      <c r="R40" s="320"/>
    </row>
    <row r="41" spans="1:18" ht="12">
      <c r="A41" s="137" t="s">
        <v>294</v>
      </c>
      <c r="B41" s="125">
        <f>C41*0.5</f>
        <v>1389</v>
      </c>
      <c r="C41" s="139">
        <v>2778</v>
      </c>
      <c r="D41" s="140" t="s">
        <v>251</v>
      </c>
      <c r="E41" s="141" t="s">
        <v>251</v>
      </c>
      <c r="F41" s="126"/>
      <c r="G41" s="127"/>
      <c r="H41" s="167">
        <v>1730.0304</v>
      </c>
      <c r="I41" s="168">
        <f>H41/1000</f>
        <v>1.7300304000000002</v>
      </c>
      <c r="J41" s="127"/>
      <c r="K41" s="126" t="s">
        <v>295</v>
      </c>
      <c r="L41" s="127" t="s">
        <v>296</v>
      </c>
      <c r="M41" s="127"/>
      <c r="N41" s="129">
        <f>Q41*$L$60</f>
        <v>0</v>
      </c>
      <c r="O41" s="130">
        <f>P41*$L$56</f>
        <v>1906.9579585537917</v>
      </c>
      <c r="P41" s="316">
        <v>3814</v>
      </c>
      <c r="Q41" s="321"/>
      <c r="R41" s="320"/>
    </row>
    <row r="42" spans="1:18" ht="12">
      <c r="A42" s="137" t="s">
        <v>297</v>
      </c>
      <c r="B42" s="125">
        <f>C42*0.84</f>
        <v>2777.04</v>
      </c>
      <c r="C42" s="139">
        <v>3306</v>
      </c>
      <c r="D42" s="140" t="s">
        <v>251</v>
      </c>
      <c r="E42" s="141" t="s">
        <v>251</v>
      </c>
      <c r="F42" s="126"/>
      <c r="G42" s="127"/>
      <c r="H42" s="132"/>
      <c r="I42" s="175"/>
      <c r="J42" s="127"/>
      <c r="K42" s="126"/>
      <c r="L42" s="127"/>
      <c r="M42" s="127"/>
      <c r="N42" s="129"/>
      <c r="O42" s="130"/>
      <c r="P42" s="316"/>
      <c r="Q42" s="321"/>
      <c r="R42" s="320"/>
    </row>
    <row r="43" spans="1:18" ht="12">
      <c r="A43" s="137" t="s">
        <v>298</v>
      </c>
      <c r="B43" s="125"/>
      <c r="C43" s="139">
        <v>8890</v>
      </c>
      <c r="D43" s="140" t="s">
        <v>251</v>
      </c>
      <c r="E43" s="141" t="s">
        <v>251</v>
      </c>
      <c r="F43" s="126"/>
      <c r="G43" s="127"/>
      <c r="H43" s="167">
        <v>2794.176</v>
      </c>
      <c r="I43" s="168">
        <f>H43/1000</f>
        <v>2.7941759999999998</v>
      </c>
      <c r="J43" s="127"/>
      <c r="K43" s="126" t="s">
        <v>299</v>
      </c>
      <c r="L43" s="127" t="s">
        <v>300</v>
      </c>
      <c r="M43" s="125">
        <f>O43/N43</f>
        <v>10500.190912562046</v>
      </c>
      <c r="N43" s="129">
        <f>Q43*$L$60</f>
        <v>0.29332153333333333</v>
      </c>
      <c r="O43" s="130">
        <f>P43*$L$56</f>
        <v>3079.932098765432</v>
      </c>
      <c r="P43" s="316">
        <v>6160</v>
      </c>
      <c r="Q43" s="321">
        <v>189.538</v>
      </c>
      <c r="R43" s="320"/>
    </row>
    <row r="44" spans="1:18" ht="12">
      <c r="A44" s="137" t="s">
        <v>301</v>
      </c>
      <c r="B44" s="125">
        <f>C44*0.7</f>
        <v>1847.3</v>
      </c>
      <c r="C44" s="139">
        <v>2639</v>
      </c>
      <c r="D44" s="140" t="s">
        <v>251</v>
      </c>
      <c r="E44" s="141" t="s">
        <v>251</v>
      </c>
      <c r="F44" s="126"/>
      <c r="G44" s="127"/>
      <c r="H44" s="167">
        <v>906.7464</v>
      </c>
      <c r="I44" s="168">
        <f>H44/1000</f>
        <v>0.9067464</v>
      </c>
      <c r="J44" s="127"/>
      <c r="K44" s="126" t="s">
        <v>302</v>
      </c>
      <c r="L44" s="127" t="s">
        <v>303</v>
      </c>
      <c r="M44" s="125">
        <f>O44/N44</f>
        <v>3231.5637372954207</v>
      </c>
      <c r="N44" s="129">
        <f>Q44*$L$60</f>
        <v>0.3092861680655067</v>
      </c>
      <c r="O44" s="130">
        <f>P44*$L$56</f>
        <v>999.4779651675484</v>
      </c>
      <c r="P44" s="316">
        <v>1999</v>
      </c>
      <c r="Q44" s="321">
        <v>199.854</v>
      </c>
      <c r="R44" s="320"/>
    </row>
    <row r="45" spans="1:18" ht="12">
      <c r="A45" s="137" t="s">
        <v>304</v>
      </c>
      <c r="B45" s="125">
        <f>C45*0.7</f>
        <v>3597.2999999999997</v>
      </c>
      <c r="C45" s="139">
        <v>5139</v>
      </c>
      <c r="D45" s="140" t="s">
        <v>251</v>
      </c>
      <c r="E45" s="141" t="s">
        <v>251</v>
      </c>
      <c r="F45" s="126"/>
      <c r="G45" s="127"/>
      <c r="H45" s="167"/>
      <c r="I45" s="168"/>
      <c r="J45" s="127"/>
      <c r="K45" s="126"/>
      <c r="L45" s="127"/>
      <c r="M45" s="127"/>
      <c r="N45" s="129"/>
      <c r="O45" s="130"/>
      <c r="P45" s="316"/>
      <c r="Q45" s="321"/>
      <c r="R45" s="320"/>
    </row>
    <row r="46" spans="1:18" ht="12">
      <c r="A46" s="137" t="s">
        <v>305</v>
      </c>
      <c r="B46" s="125">
        <f>C46*0.85</f>
        <v>3541.95</v>
      </c>
      <c r="C46" s="139">
        <v>4167</v>
      </c>
      <c r="D46" s="140" t="s">
        <v>251</v>
      </c>
      <c r="E46" s="141" t="s">
        <v>251</v>
      </c>
      <c r="F46" s="126"/>
      <c r="G46" s="127"/>
      <c r="H46" s="167"/>
      <c r="I46" s="168"/>
      <c r="J46" s="127"/>
      <c r="K46" s="126"/>
      <c r="L46" s="127"/>
      <c r="M46" s="127"/>
      <c r="N46" s="129"/>
      <c r="O46" s="201"/>
      <c r="P46" s="201"/>
      <c r="Q46" s="286"/>
      <c r="R46" s="320"/>
    </row>
    <row r="47" spans="1:18" ht="12">
      <c r="A47" s="137" t="s">
        <v>306</v>
      </c>
      <c r="B47" s="125">
        <f>C47*0.84</f>
        <v>2053.7999999999997</v>
      </c>
      <c r="C47" s="139">
        <v>2445</v>
      </c>
      <c r="D47" s="140" t="s">
        <v>251</v>
      </c>
      <c r="E47" s="141" t="s">
        <v>251</v>
      </c>
      <c r="F47" s="126"/>
      <c r="G47" s="127"/>
      <c r="H47" s="167"/>
      <c r="I47" s="168"/>
      <c r="J47" s="127"/>
      <c r="K47" s="126"/>
      <c r="L47" s="127"/>
      <c r="M47" s="127"/>
      <c r="N47" s="129"/>
      <c r="O47" s="201"/>
      <c r="P47" s="201"/>
      <c r="Q47" s="286"/>
      <c r="R47" s="320"/>
    </row>
    <row r="48" spans="1:18" ht="12">
      <c r="A48" s="137" t="s">
        <v>307</v>
      </c>
      <c r="B48" s="125">
        <f>C48*0.95</f>
        <v>4222.75</v>
      </c>
      <c r="C48" s="139">
        <v>4445</v>
      </c>
      <c r="D48" s="140" t="s">
        <v>251</v>
      </c>
      <c r="E48" s="141" t="s">
        <v>251</v>
      </c>
      <c r="F48" s="126"/>
      <c r="G48" s="127"/>
      <c r="H48" s="167"/>
      <c r="I48" s="168"/>
      <c r="J48" s="127"/>
      <c r="K48" s="126"/>
      <c r="L48" s="127"/>
      <c r="M48" s="127"/>
      <c r="N48" s="129"/>
      <c r="O48" s="201"/>
      <c r="P48" s="201"/>
      <c r="Q48" s="286"/>
      <c r="R48" s="320"/>
    </row>
    <row r="49" spans="1:18" ht="12">
      <c r="A49" s="137" t="s">
        <v>308</v>
      </c>
      <c r="B49" s="125">
        <f>C49*0.95</f>
        <v>3694.5499999999997</v>
      </c>
      <c r="C49" s="139">
        <v>3889</v>
      </c>
      <c r="D49" s="140" t="s">
        <v>251</v>
      </c>
      <c r="E49" s="141" t="s">
        <v>251</v>
      </c>
      <c r="F49" s="126"/>
      <c r="G49" s="127"/>
      <c r="H49" s="167"/>
      <c r="I49" s="168"/>
      <c r="J49" s="127"/>
      <c r="K49" s="126"/>
      <c r="L49" s="127"/>
      <c r="M49" s="127"/>
      <c r="N49" s="129"/>
      <c r="O49" s="201"/>
      <c r="P49" s="201"/>
      <c r="Q49" s="286"/>
      <c r="R49" s="320"/>
    </row>
    <row r="50" spans="1:18" ht="12">
      <c r="A50" s="137"/>
      <c r="B50" s="202"/>
      <c r="C50" s="139"/>
      <c r="D50" s="140"/>
      <c r="E50" s="141"/>
      <c r="F50" s="126"/>
      <c r="G50" s="127"/>
      <c r="H50" s="167"/>
      <c r="I50" s="168"/>
      <c r="J50" s="127"/>
      <c r="K50" s="126"/>
      <c r="L50" s="127"/>
      <c r="M50" s="127"/>
      <c r="N50" s="129"/>
      <c r="O50" s="201"/>
      <c r="P50" s="201"/>
      <c r="Q50" s="286"/>
      <c r="R50" s="320"/>
    </row>
    <row r="51" spans="1:18" ht="12.75" thickBot="1">
      <c r="A51" s="203"/>
      <c r="B51" s="204"/>
      <c r="C51" s="205"/>
      <c r="D51" s="206"/>
      <c r="E51" s="207"/>
      <c r="F51" s="208"/>
      <c r="G51" s="209"/>
      <c r="H51" s="210"/>
      <c r="I51" s="211"/>
      <c r="J51" s="127"/>
      <c r="K51" s="208"/>
      <c r="L51" s="209"/>
      <c r="M51" s="209"/>
      <c r="N51" s="212"/>
      <c r="O51" s="213"/>
      <c r="P51" s="213"/>
      <c r="Q51" s="322"/>
      <c r="R51" s="126"/>
    </row>
    <row r="52" spans="1:18" ht="12">
      <c r="A52" s="214"/>
      <c r="B52" s="127"/>
      <c r="C52" s="127"/>
      <c r="D52" s="123"/>
      <c r="E52" s="123"/>
      <c r="F52" s="123"/>
      <c r="G52" s="123"/>
      <c r="H52" s="127"/>
      <c r="I52" s="215"/>
      <c r="J52" s="123"/>
      <c r="K52" s="123"/>
      <c r="L52" s="123"/>
      <c r="M52" s="123"/>
      <c r="N52" s="216"/>
      <c r="O52" s="217"/>
      <c r="P52" s="217"/>
      <c r="Q52" s="217"/>
      <c r="R52" s="123"/>
    </row>
    <row r="53" spans="1:18" ht="12">
      <c r="A53" s="214"/>
      <c r="B53" s="127"/>
      <c r="C53" s="127"/>
      <c r="D53" s="123"/>
      <c r="E53" s="123"/>
      <c r="F53" s="123"/>
      <c r="G53" s="123"/>
      <c r="H53" s="127"/>
      <c r="I53" s="215"/>
      <c r="J53" s="123"/>
      <c r="K53" s="123"/>
      <c r="L53" s="123"/>
      <c r="M53" s="123"/>
      <c r="N53" s="216"/>
      <c r="O53" s="217"/>
      <c r="P53" s="217"/>
      <c r="Q53" s="217"/>
      <c r="R53" s="123"/>
    </row>
    <row r="54" spans="1:18" ht="12">
      <c r="A54" s="218" t="s">
        <v>309</v>
      </c>
      <c r="B54" s="219" t="s">
        <v>310</v>
      </c>
      <c r="C54" s="219" t="s">
        <v>311</v>
      </c>
      <c r="D54" s="219" t="s">
        <v>312</v>
      </c>
      <c r="E54" s="219" t="s">
        <v>313</v>
      </c>
      <c r="F54" s="219" t="s">
        <v>314</v>
      </c>
      <c r="G54" s="220" t="s">
        <v>315</v>
      </c>
      <c r="H54" s="127"/>
      <c r="I54" s="215"/>
      <c r="J54" s="221"/>
      <c r="K54" s="222" t="s">
        <v>316</v>
      </c>
      <c r="L54" s="223">
        <v>0.45359</v>
      </c>
      <c r="M54" s="224" t="s">
        <v>317</v>
      </c>
      <c r="N54" s="216"/>
      <c r="O54" s="217"/>
      <c r="P54" s="217"/>
      <c r="Q54" s="217"/>
      <c r="R54" s="123"/>
    </row>
    <row r="55" spans="1:18" ht="12">
      <c r="A55" s="225" t="s">
        <v>318</v>
      </c>
      <c r="B55" s="127"/>
      <c r="C55" s="127"/>
      <c r="D55" s="127"/>
      <c r="E55" s="127"/>
      <c r="F55" s="127"/>
      <c r="G55" s="226"/>
      <c r="H55" s="127"/>
      <c r="I55" s="215"/>
      <c r="J55" s="127"/>
      <c r="K55" s="227" t="s">
        <v>319</v>
      </c>
      <c r="L55" s="186">
        <v>0.9072</v>
      </c>
      <c r="M55" s="228" t="s">
        <v>320</v>
      </c>
      <c r="N55" s="216"/>
      <c r="O55" s="217"/>
      <c r="P55" s="217"/>
      <c r="Q55" s="217"/>
      <c r="R55" s="123"/>
    </row>
    <row r="56" spans="1:18" ht="12">
      <c r="A56" s="225" t="s">
        <v>310</v>
      </c>
      <c r="B56" s="127">
        <v>1</v>
      </c>
      <c r="C56" s="127">
        <v>29.31</v>
      </c>
      <c r="D56" s="166">
        <v>100000</v>
      </c>
      <c r="E56" s="127">
        <v>105.5</v>
      </c>
      <c r="F56" s="229">
        <v>0.00252</v>
      </c>
      <c r="G56" s="230">
        <v>25000</v>
      </c>
      <c r="H56" s="127"/>
      <c r="I56" s="215"/>
      <c r="J56" s="229"/>
      <c r="K56" s="231" t="s">
        <v>321</v>
      </c>
      <c r="L56" s="232">
        <f>L54/L55</f>
        <v>0.4999889770723104</v>
      </c>
      <c r="M56" s="233" t="s">
        <v>322</v>
      </c>
      <c r="N56" s="216"/>
      <c r="O56" s="217"/>
      <c r="P56" s="217"/>
      <c r="Q56" s="217"/>
      <c r="R56" s="123"/>
    </row>
    <row r="57" spans="1:18" ht="12">
      <c r="A57" s="225" t="s">
        <v>311</v>
      </c>
      <c r="B57" s="127">
        <v>0.03412</v>
      </c>
      <c r="C57" s="127">
        <v>1</v>
      </c>
      <c r="D57" s="127">
        <v>3412</v>
      </c>
      <c r="E57" s="127">
        <v>3.6</v>
      </c>
      <c r="F57" s="229">
        <v>8.598E-05</v>
      </c>
      <c r="G57" s="226">
        <v>859.7</v>
      </c>
      <c r="H57" s="127"/>
      <c r="I57" s="215"/>
      <c r="J57" s="127"/>
      <c r="K57" s="214"/>
      <c r="L57" s="234"/>
      <c r="M57" s="216"/>
      <c r="N57" s="216"/>
      <c r="O57" s="217"/>
      <c r="P57" s="217"/>
      <c r="Q57" s="217"/>
      <c r="R57" s="123"/>
    </row>
    <row r="58" spans="1:18" ht="12">
      <c r="A58" s="225" t="s">
        <v>312</v>
      </c>
      <c r="B58" s="229">
        <v>1E-05</v>
      </c>
      <c r="C58" s="235">
        <v>0.0002931</v>
      </c>
      <c r="D58" s="127">
        <v>1</v>
      </c>
      <c r="E58" s="229">
        <v>0.001055</v>
      </c>
      <c r="F58" s="229">
        <v>2.52E-08</v>
      </c>
      <c r="G58" s="226">
        <v>0.252</v>
      </c>
      <c r="H58" s="127"/>
      <c r="I58" s="215"/>
      <c r="J58" s="127"/>
      <c r="K58" s="236" t="s">
        <v>316</v>
      </c>
      <c r="L58" s="223">
        <v>0.45359</v>
      </c>
      <c r="M58" s="224" t="s">
        <v>317</v>
      </c>
      <c r="N58" s="216"/>
      <c r="O58" s="217"/>
      <c r="P58" s="217"/>
      <c r="Q58" s="217"/>
      <c r="R58" s="123"/>
    </row>
    <row r="59" spans="1:18" ht="12">
      <c r="A59" s="225" t="s">
        <v>313</v>
      </c>
      <c r="B59" s="229">
        <v>0.009478</v>
      </c>
      <c r="C59" s="127">
        <v>0.2778</v>
      </c>
      <c r="D59" s="127">
        <v>947.8</v>
      </c>
      <c r="E59" s="127">
        <v>1</v>
      </c>
      <c r="F59" s="229">
        <v>2.388E-05</v>
      </c>
      <c r="G59" s="226">
        <v>238.8</v>
      </c>
      <c r="H59" s="127"/>
      <c r="I59" s="215"/>
      <c r="J59" s="127"/>
      <c r="K59" s="237" t="s">
        <v>323</v>
      </c>
      <c r="L59" s="125">
        <v>293.1</v>
      </c>
      <c r="M59" s="238" t="s">
        <v>311</v>
      </c>
      <c r="N59" s="216"/>
      <c r="O59" s="217"/>
      <c r="P59" s="217"/>
      <c r="Q59" s="217"/>
      <c r="R59" s="123"/>
    </row>
    <row r="60" spans="1:18" ht="12">
      <c r="A60" s="225" t="s">
        <v>314</v>
      </c>
      <c r="B60" s="127">
        <v>396.8</v>
      </c>
      <c r="C60" s="166">
        <v>11630</v>
      </c>
      <c r="D60" s="229">
        <v>39680000</v>
      </c>
      <c r="E60" s="166">
        <v>41870</v>
      </c>
      <c r="F60" s="127">
        <v>1</v>
      </c>
      <c r="G60" s="230">
        <v>10000000</v>
      </c>
      <c r="H60" s="127"/>
      <c r="I60" s="215"/>
      <c r="J60" s="229"/>
      <c r="K60" s="239" t="s">
        <v>324</v>
      </c>
      <c r="L60" s="240">
        <f>L58/L59</f>
        <v>0.0015475605595359945</v>
      </c>
      <c r="M60" s="241" t="s">
        <v>325</v>
      </c>
      <c r="N60" s="216"/>
      <c r="O60" s="217"/>
      <c r="P60" s="217"/>
      <c r="Q60" s="217"/>
      <c r="R60" s="123"/>
    </row>
    <row r="61" spans="1:18" ht="12">
      <c r="A61" s="242" t="s">
        <v>315</v>
      </c>
      <c r="B61" s="243">
        <v>4E-05</v>
      </c>
      <c r="C61" s="244">
        <v>0.001163</v>
      </c>
      <c r="D61" s="153">
        <v>3.968</v>
      </c>
      <c r="E61" s="243">
        <v>0.00418</v>
      </c>
      <c r="F61" s="243">
        <f>1/G60</f>
        <v>1E-07</v>
      </c>
      <c r="G61" s="245">
        <v>1</v>
      </c>
      <c r="H61" s="127"/>
      <c r="I61" s="215"/>
      <c r="J61" s="127"/>
      <c r="K61" s="123"/>
      <c r="L61" s="246"/>
      <c r="M61" s="216"/>
      <c r="N61" s="216"/>
      <c r="O61" s="217"/>
      <c r="P61" s="217"/>
      <c r="Q61" s="217"/>
      <c r="R61" s="123"/>
    </row>
    <row r="62" spans="1:18" ht="12">
      <c r="A62" s="214"/>
      <c r="B62" s="127"/>
      <c r="C62" s="127"/>
      <c r="D62" s="123"/>
      <c r="E62" s="123"/>
      <c r="F62" s="123"/>
      <c r="G62" s="123"/>
      <c r="H62" s="127"/>
      <c r="I62" s="215"/>
      <c r="J62" s="123"/>
      <c r="K62" s="247" t="s">
        <v>316</v>
      </c>
      <c r="L62" s="248">
        <v>0.45359</v>
      </c>
      <c r="M62" s="249" t="s">
        <v>317</v>
      </c>
      <c r="N62" s="216"/>
      <c r="O62" s="123"/>
      <c r="P62" s="217"/>
      <c r="Q62" s="217"/>
      <c r="R62" s="123"/>
    </row>
    <row r="63" spans="1:18" ht="12">
      <c r="A63" s="214"/>
      <c r="B63" s="127"/>
      <c r="C63" s="127"/>
      <c r="D63" s="123"/>
      <c r="E63" s="123"/>
      <c r="F63" s="123"/>
      <c r="G63" s="123"/>
      <c r="H63" s="127"/>
      <c r="I63" s="215"/>
      <c r="J63" s="123"/>
      <c r="K63" s="250" t="s">
        <v>326</v>
      </c>
      <c r="L63" s="186">
        <v>3.7854</v>
      </c>
      <c r="M63" s="251" t="s">
        <v>327</v>
      </c>
      <c r="N63" s="216"/>
      <c r="O63" s="123"/>
      <c r="P63" s="217"/>
      <c r="Q63" s="217"/>
      <c r="R63" s="123"/>
    </row>
    <row r="64" spans="1:18" ht="12">
      <c r="A64" s="214"/>
      <c r="B64" s="127"/>
      <c r="C64" s="127"/>
      <c r="D64" s="123"/>
      <c r="E64" s="123"/>
      <c r="F64" s="123"/>
      <c r="G64" s="123"/>
      <c r="H64" s="127"/>
      <c r="I64" s="215"/>
      <c r="J64" s="123"/>
      <c r="K64" s="252" t="s">
        <v>465</v>
      </c>
      <c r="L64" s="232">
        <f>L62/L63</f>
        <v>0.11982617424842816</v>
      </c>
      <c r="M64" s="253" t="s">
        <v>466</v>
      </c>
      <c r="N64" s="216"/>
      <c r="O64" s="217"/>
      <c r="P64" s="217"/>
      <c r="Q64" s="217"/>
      <c r="R64" s="123"/>
    </row>
    <row r="65" spans="1:18" ht="12">
      <c r="A65" s="214"/>
      <c r="B65" s="127"/>
      <c r="C65" s="127"/>
      <c r="D65" s="123"/>
      <c r="E65" s="123"/>
      <c r="F65" s="123"/>
      <c r="G65" s="123"/>
      <c r="H65" s="127"/>
      <c r="I65" s="215"/>
      <c r="J65" s="123"/>
      <c r="K65" s="234"/>
      <c r="L65" s="246"/>
      <c r="M65" s="234"/>
      <c r="N65" s="216"/>
      <c r="O65" s="217"/>
      <c r="P65" s="217"/>
      <c r="Q65" s="217"/>
      <c r="R65" s="123"/>
    </row>
    <row r="66" spans="1:18" ht="12">
      <c r="A66" s="214"/>
      <c r="B66" s="127"/>
      <c r="C66" s="127"/>
      <c r="D66" s="123"/>
      <c r="E66" s="123"/>
      <c r="F66" s="123"/>
      <c r="G66" s="123"/>
      <c r="H66" s="127"/>
      <c r="I66" s="215"/>
      <c r="J66" s="123"/>
      <c r="K66" s="247" t="s">
        <v>316</v>
      </c>
      <c r="L66" s="223">
        <v>0.45359</v>
      </c>
      <c r="M66" s="249" t="s">
        <v>317</v>
      </c>
      <c r="N66" s="216"/>
      <c r="O66" s="217"/>
      <c r="P66" s="217"/>
      <c r="Q66" s="217"/>
      <c r="R66" s="123"/>
    </row>
    <row r="67" spans="1:18" ht="12">
      <c r="A67" s="214"/>
      <c r="B67" s="127"/>
      <c r="C67" s="127"/>
      <c r="D67" s="123"/>
      <c r="E67" s="123"/>
      <c r="F67" s="123"/>
      <c r="G67" s="123"/>
      <c r="H67" s="127"/>
      <c r="I67" s="215"/>
      <c r="J67" s="123"/>
      <c r="K67" s="254" t="s">
        <v>467</v>
      </c>
      <c r="L67" s="255">
        <v>28.32</v>
      </c>
      <c r="M67" s="251" t="s">
        <v>468</v>
      </c>
      <c r="N67" s="216"/>
      <c r="O67" s="217"/>
      <c r="P67" s="217"/>
      <c r="Q67" s="217"/>
      <c r="R67" s="123"/>
    </row>
    <row r="68" spans="1:18" ht="12">
      <c r="A68" s="214"/>
      <c r="B68" s="127"/>
      <c r="C68" s="127"/>
      <c r="D68" s="123"/>
      <c r="E68" s="123"/>
      <c r="F68" s="123"/>
      <c r="G68" s="123"/>
      <c r="H68" s="127"/>
      <c r="I68" s="215"/>
      <c r="J68" s="123"/>
      <c r="K68" s="252" t="s">
        <v>469</v>
      </c>
      <c r="L68" s="232">
        <f>L66/L67</f>
        <v>0.01601659604519774</v>
      </c>
      <c r="M68" s="253" t="s">
        <v>470</v>
      </c>
      <c r="N68" s="216"/>
      <c r="O68" s="217"/>
      <c r="P68" s="217"/>
      <c r="Q68" s="217"/>
      <c r="R68" s="123"/>
    </row>
    <row r="69" spans="1:18" ht="12">
      <c r="A69" s="214"/>
      <c r="B69" s="127"/>
      <c r="C69" s="127"/>
      <c r="D69" s="123"/>
      <c r="E69" s="123"/>
      <c r="F69" s="123"/>
      <c r="G69" s="123"/>
      <c r="H69" s="127"/>
      <c r="I69" s="215"/>
      <c r="J69" s="123"/>
      <c r="K69" s="123"/>
      <c r="L69" s="123"/>
      <c r="M69" s="123"/>
      <c r="N69" s="216"/>
      <c r="O69" s="217"/>
      <c r="P69" s="217"/>
      <c r="Q69" s="217"/>
      <c r="R69" s="123"/>
    </row>
    <row r="70" spans="1:18" ht="12">
      <c r="A70" s="214"/>
      <c r="B70" s="127"/>
      <c r="C70" s="127"/>
      <c r="D70" s="123"/>
      <c r="E70" s="123"/>
      <c r="F70" s="123"/>
      <c r="G70" s="123"/>
      <c r="H70" s="127"/>
      <c r="I70" s="215"/>
      <c r="J70" s="123"/>
      <c r="K70" s="256" t="s">
        <v>471</v>
      </c>
      <c r="L70" s="257">
        <v>4.5461</v>
      </c>
      <c r="M70" s="258" t="s">
        <v>327</v>
      </c>
      <c r="N70" s="216"/>
      <c r="O70" s="217"/>
      <c r="P70" s="217"/>
      <c r="Q70" s="217"/>
      <c r="R70" s="123"/>
    </row>
    <row r="71" spans="1:18" ht="12">
      <c r="A71" s="214"/>
      <c r="B71" s="127"/>
      <c r="C71" s="127"/>
      <c r="D71" s="123"/>
      <c r="E71" s="123"/>
      <c r="F71" s="123"/>
      <c r="G71" s="123"/>
      <c r="H71" s="127"/>
      <c r="I71" s="215"/>
      <c r="J71" s="123"/>
      <c r="K71" s="123"/>
      <c r="L71" s="123"/>
      <c r="M71" s="123"/>
      <c r="N71" s="216"/>
      <c r="O71" s="217"/>
      <c r="P71" s="217"/>
      <c r="Q71" s="217"/>
      <c r="R71" s="123"/>
    </row>
    <row r="72" spans="1:18" ht="12">
      <c r="A72" s="214"/>
      <c r="B72" s="127"/>
      <c r="C72" s="127"/>
      <c r="D72" s="123"/>
      <c r="E72" s="123"/>
      <c r="F72" s="123"/>
      <c r="G72" s="123"/>
      <c r="H72" s="127"/>
      <c r="I72" s="215"/>
      <c r="J72" s="123"/>
      <c r="K72" s="256" t="s">
        <v>472</v>
      </c>
      <c r="L72" s="257">
        <v>158.99</v>
      </c>
      <c r="M72" s="258" t="s">
        <v>473</v>
      </c>
      <c r="N72" s="216"/>
      <c r="O72" s="217"/>
      <c r="P72" s="217"/>
      <c r="Q72" s="217"/>
      <c r="R72" s="123"/>
    </row>
    <row r="73" spans="1:18" ht="12">
      <c r="A73" s="214"/>
      <c r="B73" s="127"/>
      <c r="C73" s="127"/>
      <c r="D73" s="123"/>
      <c r="E73" s="123"/>
      <c r="F73" s="123"/>
      <c r="G73" s="123"/>
      <c r="H73" s="127"/>
      <c r="I73" s="215"/>
      <c r="J73" s="123"/>
      <c r="K73" s="123"/>
      <c r="L73" s="123"/>
      <c r="M73" s="123"/>
      <c r="N73" s="216"/>
      <c r="O73" s="217"/>
      <c r="P73" s="217"/>
      <c r="Q73" s="217"/>
      <c r="R73" s="123"/>
    </row>
    <row r="74" spans="1:18" ht="12">
      <c r="A74" s="214"/>
      <c r="B74" s="127"/>
      <c r="C74" s="127"/>
      <c r="D74" s="123"/>
      <c r="E74" s="123"/>
      <c r="F74" s="123"/>
      <c r="G74" s="123"/>
      <c r="H74" s="127"/>
      <c r="I74" s="215"/>
      <c r="J74" s="123"/>
      <c r="K74" s="259" t="s">
        <v>474</v>
      </c>
      <c r="L74" s="260">
        <v>31</v>
      </c>
      <c r="M74" s="261" t="s">
        <v>475</v>
      </c>
      <c r="N74" s="216"/>
      <c r="O74" s="217"/>
      <c r="P74" s="217"/>
      <c r="Q74" s="217"/>
      <c r="R74" s="123"/>
    </row>
    <row r="75" spans="1:18" ht="12">
      <c r="A75" s="214"/>
      <c r="B75" s="127"/>
      <c r="C75" s="127"/>
      <c r="D75" s="123"/>
      <c r="E75" s="123"/>
      <c r="F75" s="123"/>
      <c r="G75" s="123"/>
      <c r="H75" s="127"/>
      <c r="I75" s="215"/>
      <c r="J75" s="123"/>
      <c r="K75" s="237" t="s">
        <v>476</v>
      </c>
      <c r="L75" s="262">
        <v>2.818181818181818</v>
      </c>
      <c r="M75" s="263" t="s">
        <v>468</v>
      </c>
      <c r="N75" s="216"/>
      <c r="O75" s="217"/>
      <c r="P75" s="217"/>
      <c r="Q75" s="217"/>
      <c r="R75" s="123"/>
    </row>
    <row r="76" spans="1:18" ht="12">
      <c r="A76" s="214"/>
      <c r="B76" s="127"/>
      <c r="C76" s="127"/>
      <c r="D76" s="123"/>
      <c r="E76" s="123"/>
      <c r="F76" s="123"/>
      <c r="G76" s="123"/>
      <c r="H76" s="127"/>
      <c r="I76" s="215"/>
      <c r="J76" s="123"/>
      <c r="K76" s="239" t="s">
        <v>474</v>
      </c>
      <c r="L76" s="264">
        <v>0.09090909090909091</v>
      </c>
      <c r="M76" s="265" t="s">
        <v>468</v>
      </c>
      <c r="N76" s="216"/>
      <c r="O76" s="217"/>
      <c r="P76" s="217"/>
      <c r="Q76" s="217"/>
      <c r="R76" s="123"/>
    </row>
    <row r="77" spans="1:18" ht="12">
      <c r="A77" s="214"/>
      <c r="B77" s="127"/>
      <c r="C77" s="127"/>
      <c r="D77" s="123"/>
      <c r="E77" s="123"/>
      <c r="F77" s="123"/>
      <c r="G77" s="123"/>
      <c r="H77" s="127"/>
      <c r="I77" s="215"/>
      <c r="J77" s="123"/>
      <c r="K77" s="256" t="s">
        <v>477</v>
      </c>
      <c r="L77" s="257">
        <v>35.31</v>
      </c>
      <c r="M77" s="258" t="s">
        <v>475</v>
      </c>
      <c r="N77" s="216"/>
      <c r="O77" s="217"/>
      <c r="P77" s="217"/>
      <c r="Q77" s="217"/>
      <c r="R77" s="123"/>
    </row>
    <row r="78" spans="1:18" ht="12">
      <c r="A78" s="214"/>
      <c r="B78" s="127"/>
      <c r="C78" s="127"/>
      <c r="D78" s="123"/>
      <c r="E78" s="123"/>
      <c r="F78" s="123"/>
      <c r="G78" s="123"/>
      <c r="H78" s="127"/>
      <c r="I78" s="215"/>
      <c r="J78" s="123"/>
      <c r="K78" s="123"/>
      <c r="L78" s="123"/>
      <c r="M78" s="123"/>
      <c r="N78" s="216"/>
      <c r="O78" s="217"/>
      <c r="P78" s="217"/>
      <c r="Q78" s="217"/>
      <c r="R78" s="123"/>
    </row>
  </sheetData>
  <mergeCells count="1">
    <mergeCell ref="N2:Q2"/>
  </mergeCells>
  <hyperlinks>
    <hyperlink ref="K44" display="2"/>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R188"/>
  <sheetViews>
    <sheetView workbookViewId="0" topLeftCell="A1">
      <selection activeCell="A1" sqref="A1:Q188"/>
    </sheetView>
  </sheetViews>
  <sheetFormatPr defaultColWidth="11.421875" defaultRowHeight="12.75"/>
  <cols>
    <col min="4" max="4" width="3.00390625" style="0" customWidth="1"/>
    <col min="6" max="7" width="2.421875" style="0" customWidth="1"/>
    <col min="8" max="8" width="6.7109375" style="0" customWidth="1"/>
  </cols>
  <sheetData>
    <row r="1" spans="1:9" ht="16.5">
      <c r="A1" s="378" t="s">
        <v>638</v>
      </c>
      <c r="B1" s="378"/>
      <c r="C1" s="378"/>
      <c r="D1" s="382"/>
      <c r="E1" s="382"/>
      <c r="F1" s="382"/>
      <c r="G1" s="382"/>
      <c r="H1" s="382"/>
      <c r="I1" s="382"/>
    </row>
    <row r="2" spans="1:9" ht="12">
      <c r="A2" s="379" t="s">
        <v>355</v>
      </c>
      <c r="B2" s="379"/>
      <c r="C2" s="379"/>
      <c r="D2" s="379"/>
      <c r="E2" s="382"/>
      <c r="F2" s="382"/>
      <c r="G2" s="382"/>
      <c r="H2" s="382"/>
      <c r="I2" s="382"/>
    </row>
    <row r="3" spans="1:4" ht="12">
      <c r="A3" s="1"/>
      <c r="D3" s="10"/>
    </row>
    <row r="4" spans="1:9" ht="12">
      <c r="A4" s="380" t="s">
        <v>637</v>
      </c>
      <c r="B4" s="380"/>
      <c r="C4" s="380"/>
      <c r="D4" s="380"/>
      <c r="E4" s="380"/>
      <c r="F4" s="382"/>
      <c r="G4" s="382"/>
      <c r="H4" s="382"/>
      <c r="I4" s="382"/>
    </row>
    <row r="5" spans="1:4" ht="12">
      <c r="A5" s="134"/>
      <c r="D5" s="10"/>
    </row>
    <row r="6" spans="1:9" ht="12">
      <c r="A6" s="1" t="s">
        <v>356</v>
      </c>
      <c r="D6" s="10"/>
      <c r="H6" s="377" t="s">
        <v>357</v>
      </c>
      <c r="I6" s="377"/>
    </row>
    <row r="7" spans="1:9" ht="12">
      <c r="A7" s="397" t="s">
        <v>488</v>
      </c>
      <c r="B7" s="397"/>
      <c r="D7" s="10"/>
      <c r="H7" s="323">
        <v>0</v>
      </c>
      <c r="I7" s="323" t="s">
        <v>489</v>
      </c>
    </row>
    <row r="8" spans="1:9" ht="12">
      <c r="A8" s="1" t="s">
        <v>490</v>
      </c>
      <c r="D8" s="10"/>
      <c r="H8" s="323">
        <v>0</v>
      </c>
      <c r="I8" s="323" t="s">
        <v>489</v>
      </c>
    </row>
    <row r="9" spans="1:9" ht="12">
      <c r="A9" s="1" t="s">
        <v>491</v>
      </c>
      <c r="D9" s="10"/>
      <c r="H9" s="323">
        <v>0</v>
      </c>
      <c r="I9" s="323" t="s">
        <v>489</v>
      </c>
    </row>
    <row r="10" spans="1:9" ht="12">
      <c r="A10" s="402" t="s">
        <v>492</v>
      </c>
      <c r="B10" s="402"/>
      <c r="D10" s="10"/>
      <c r="H10" s="323">
        <v>0</v>
      </c>
      <c r="I10" s="323" t="s">
        <v>493</v>
      </c>
    </row>
    <row r="11" spans="1:10" ht="12.75" thickBot="1">
      <c r="A11" s="325" t="s">
        <v>494</v>
      </c>
      <c r="B11" s="324"/>
      <c r="C11" s="324"/>
      <c r="D11" s="326"/>
      <c r="E11" s="324"/>
      <c r="F11" s="324"/>
      <c r="G11" s="324"/>
      <c r="H11" s="328">
        <v>0</v>
      </c>
      <c r="I11" s="328" t="s">
        <v>493</v>
      </c>
      <c r="J11" s="327"/>
    </row>
    <row r="12" spans="4:10" ht="12">
      <c r="D12" s="10"/>
      <c r="J12" s="327"/>
    </row>
    <row r="13" spans="1:4" ht="12">
      <c r="A13" s="397" t="s">
        <v>495</v>
      </c>
      <c r="B13" s="397"/>
      <c r="D13" s="10"/>
    </row>
    <row r="14" spans="1:4" ht="12">
      <c r="A14" s="402" t="s">
        <v>496</v>
      </c>
      <c r="B14" s="402"/>
      <c r="D14" s="10"/>
    </row>
    <row r="15" spans="1:18" ht="36">
      <c r="A15" s="329" t="s">
        <v>497</v>
      </c>
      <c r="B15" s="330" t="s">
        <v>498</v>
      </c>
      <c r="C15" s="330" t="s">
        <v>499</v>
      </c>
      <c r="D15" s="331" t="s">
        <v>500</v>
      </c>
      <c r="E15" s="330" t="s">
        <v>358</v>
      </c>
      <c r="F15" s="330"/>
      <c r="G15" s="330"/>
      <c r="H15" s="332" t="s">
        <v>359</v>
      </c>
      <c r="I15" s="95"/>
      <c r="J15" s="95"/>
      <c r="K15" s="95"/>
      <c r="L15" s="95"/>
      <c r="M15" s="95"/>
      <c r="N15" s="95"/>
      <c r="O15" s="95"/>
      <c r="P15" s="95"/>
      <c r="Q15" s="95"/>
      <c r="R15" s="95"/>
    </row>
    <row r="16" spans="1:8" ht="12">
      <c r="A16" s="333" t="s">
        <v>360</v>
      </c>
      <c r="B16" s="334"/>
      <c r="C16" t="s">
        <v>311</v>
      </c>
      <c r="D16" s="10" t="s">
        <v>500</v>
      </c>
      <c r="E16">
        <v>0.43</v>
      </c>
      <c r="H16" s="335">
        <v>0</v>
      </c>
    </row>
    <row r="17" spans="1:17" ht="12">
      <c r="A17" s="336" t="s">
        <v>361</v>
      </c>
      <c r="B17" s="337"/>
      <c r="C17" s="338" t="s">
        <v>311</v>
      </c>
      <c r="D17" s="339" t="s">
        <v>500</v>
      </c>
      <c r="E17" s="338">
        <v>0.19</v>
      </c>
      <c r="F17" s="338"/>
      <c r="G17" s="338"/>
      <c r="H17" s="340">
        <v>0</v>
      </c>
      <c r="J17" s="398" t="s">
        <v>362</v>
      </c>
      <c r="K17" s="398"/>
      <c r="L17" s="398"/>
      <c r="M17" s="398"/>
      <c r="N17" s="398"/>
      <c r="O17" s="398"/>
      <c r="P17" s="398"/>
      <c r="Q17" s="398"/>
    </row>
    <row r="18" spans="1:16" ht="12">
      <c r="A18" s="341"/>
      <c r="B18" s="342"/>
      <c r="C18" s="343" t="s">
        <v>310</v>
      </c>
      <c r="D18" s="344" t="s">
        <v>500</v>
      </c>
      <c r="E18" s="343">
        <v>5.43</v>
      </c>
      <c r="F18" s="343"/>
      <c r="G18" s="343"/>
      <c r="H18" s="345">
        <v>0</v>
      </c>
      <c r="J18" s="398" t="s">
        <v>363</v>
      </c>
      <c r="K18" s="398"/>
      <c r="L18" s="398"/>
      <c r="M18" s="398"/>
      <c r="N18" s="398"/>
      <c r="O18" s="398"/>
      <c r="P18" s="398"/>
    </row>
    <row r="19" spans="1:17" ht="12">
      <c r="A19" s="336" t="s">
        <v>364</v>
      </c>
      <c r="B19" s="337"/>
      <c r="C19" s="338" t="s">
        <v>320</v>
      </c>
      <c r="D19" s="339" t="s">
        <v>500</v>
      </c>
      <c r="E19" s="338">
        <v>3190</v>
      </c>
      <c r="F19" s="338"/>
      <c r="G19" s="338"/>
      <c r="H19" s="340">
        <v>0</v>
      </c>
      <c r="J19" s="398" t="s">
        <v>365</v>
      </c>
      <c r="K19" s="398"/>
      <c r="L19" s="398"/>
      <c r="M19" s="398"/>
      <c r="N19" s="398"/>
      <c r="O19" s="398"/>
      <c r="P19" s="398"/>
      <c r="Q19" s="398"/>
    </row>
    <row r="20" spans="1:17" ht="12">
      <c r="A20" s="333"/>
      <c r="B20" s="334"/>
      <c r="C20" t="s">
        <v>311</v>
      </c>
      <c r="D20" s="10" t="s">
        <v>500</v>
      </c>
      <c r="E20">
        <v>0.25</v>
      </c>
      <c r="H20" s="335">
        <v>0</v>
      </c>
      <c r="J20" s="398" t="s">
        <v>366</v>
      </c>
      <c r="K20" s="398"/>
      <c r="L20" s="398"/>
      <c r="M20" s="398"/>
      <c r="N20" s="398"/>
      <c r="O20" s="398"/>
      <c r="P20" s="398"/>
      <c r="Q20" s="398"/>
    </row>
    <row r="21" spans="1:18" ht="12">
      <c r="A21" s="341"/>
      <c r="B21" s="342"/>
      <c r="C21" s="343" t="s">
        <v>327</v>
      </c>
      <c r="D21" s="344" t="s">
        <v>500</v>
      </c>
      <c r="E21" s="343">
        <v>2.69</v>
      </c>
      <c r="F21" s="343"/>
      <c r="G21" s="343"/>
      <c r="H21" s="345">
        <v>0</v>
      </c>
      <c r="J21" s="398" t="s">
        <v>367</v>
      </c>
      <c r="K21" s="398"/>
      <c r="L21" s="398"/>
      <c r="M21" s="398"/>
      <c r="N21" s="398"/>
      <c r="O21" s="398"/>
      <c r="P21" s="398"/>
      <c r="Q21" s="398"/>
      <c r="R21" s="398"/>
    </row>
    <row r="22" spans="1:11" ht="12">
      <c r="A22" s="336" t="s">
        <v>368</v>
      </c>
      <c r="B22" s="337"/>
      <c r="C22" s="338" t="s">
        <v>320</v>
      </c>
      <c r="D22" s="339" t="s">
        <v>500</v>
      </c>
      <c r="E22" s="338">
        <v>3164</v>
      </c>
      <c r="F22" s="338"/>
      <c r="G22" s="338"/>
      <c r="H22" s="340">
        <v>0</v>
      </c>
      <c r="J22" s="398" t="s">
        <v>369</v>
      </c>
      <c r="K22" s="398"/>
    </row>
    <row r="23" spans="1:17" ht="12">
      <c r="A23" s="333"/>
      <c r="B23" s="334"/>
      <c r="C23" t="s">
        <v>311</v>
      </c>
      <c r="D23" s="10" t="s">
        <v>500</v>
      </c>
      <c r="E23">
        <v>0.25</v>
      </c>
      <c r="H23" s="335">
        <v>0</v>
      </c>
      <c r="J23" s="398" t="s">
        <v>370</v>
      </c>
      <c r="K23" s="398"/>
      <c r="L23" s="398"/>
      <c r="M23" s="398"/>
      <c r="N23" s="398"/>
      <c r="O23" s="398"/>
      <c r="P23" s="398"/>
      <c r="Q23" s="398"/>
    </row>
    <row r="24" spans="1:17" ht="12">
      <c r="A24" s="333"/>
      <c r="B24" s="334"/>
      <c r="C24" t="s">
        <v>327</v>
      </c>
      <c r="D24" s="10" t="s">
        <v>500</v>
      </c>
      <c r="E24">
        <v>2.63</v>
      </c>
      <c r="H24" s="335">
        <v>0</v>
      </c>
      <c r="J24" s="398" t="s">
        <v>371</v>
      </c>
      <c r="K24" s="398"/>
      <c r="L24" s="398"/>
      <c r="M24" s="398"/>
      <c r="N24" s="398"/>
      <c r="O24" s="398"/>
      <c r="P24" s="398"/>
      <c r="Q24" s="398"/>
    </row>
    <row r="25" spans="1:10" ht="12">
      <c r="A25" s="341"/>
      <c r="B25" s="342"/>
      <c r="C25" s="343" t="s">
        <v>372</v>
      </c>
      <c r="D25" s="344" t="s">
        <v>500</v>
      </c>
      <c r="E25" s="346">
        <v>11.719543</v>
      </c>
      <c r="F25" s="343"/>
      <c r="G25" s="343"/>
      <c r="H25" s="345">
        <v>0</v>
      </c>
      <c r="J25" s="134"/>
    </row>
    <row r="26" spans="1:17" ht="12">
      <c r="A26" s="336" t="s">
        <v>373</v>
      </c>
      <c r="B26" s="337"/>
      <c r="C26" s="338" t="s">
        <v>320</v>
      </c>
      <c r="D26" s="339" t="s">
        <v>500</v>
      </c>
      <c r="E26" s="338">
        <v>3135</v>
      </c>
      <c r="F26" s="338"/>
      <c r="G26" s="338"/>
      <c r="H26" s="340">
        <v>0</v>
      </c>
      <c r="J26" s="398" t="s">
        <v>374</v>
      </c>
      <c r="K26" s="398"/>
      <c r="L26" s="398"/>
      <c r="M26" s="398"/>
      <c r="N26" s="398"/>
      <c r="O26" s="398"/>
      <c r="P26" s="398"/>
      <c r="Q26" s="398"/>
    </row>
    <row r="27" spans="1:17" ht="12">
      <c r="A27" s="333"/>
      <c r="B27" s="334"/>
      <c r="C27" t="s">
        <v>311</v>
      </c>
      <c r="D27" s="10" t="s">
        <v>500</v>
      </c>
      <c r="E27">
        <v>0.24</v>
      </c>
      <c r="H27" s="335">
        <v>0</v>
      </c>
      <c r="J27" s="398" t="s">
        <v>375</v>
      </c>
      <c r="K27" s="398"/>
      <c r="L27" s="398"/>
      <c r="M27" s="398"/>
      <c r="N27" s="398"/>
      <c r="O27" s="398"/>
      <c r="P27" s="398"/>
      <c r="Q27" s="398"/>
    </row>
    <row r="28" spans="1:17" ht="12">
      <c r="A28" s="333"/>
      <c r="B28" s="334"/>
      <c r="C28" t="s">
        <v>327</v>
      </c>
      <c r="D28" s="10" t="s">
        <v>500</v>
      </c>
      <c r="E28">
        <v>2.3</v>
      </c>
      <c r="H28" s="335">
        <v>0</v>
      </c>
      <c r="J28" s="398" t="s">
        <v>376</v>
      </c>
      <c r="K28" s="398"/>
      <c r="L28" s="398"/>
      <c r="M28" s="398"/>
      <c r="N28" s="398"/>
      <c r="O28" s="398"/>
      <c r="P28" s="398"/>
      <c r="Q28" s="398"/>
    </row>
    <row r="29" spans="1:10" ht="12">
      <c r="A29" s="333"/>
      <c r="B29" s="334"/>
      <c r="C29" s="343" t="s">
        <v>372</v>
      </c>
      <c r="D29" s="344" t="s">
        <v>500</v>
      </c>
      <c r="E29" s="346">
        <v>10.24903</v>
      </c>
      <c r="H29" s="335"/>
      <c r="J29" s="134"/>
    </row>
    <row r="30" spans="1:17" ht="12">
      <c r="A30" s="336" t="s">
        <v>377</v>
      </c>
      <c r="B30" s="337"/>
      <c r="C30" s="338" t="s">
        <v>320</v>
      </c>
      <c r="D30" s="339" t="s">
        <v>500</v>
      </c>
      <c r="E30" s="338">
        <v>3223</v>
      </c>
      <c r="F30" s="338"/>
      <c r="G30" s="338"/>
      <c r="H30" s="340">
        <v>0</v>
      </c>
      <c r="J30" s="398" t="s">
        <v>515</v>
      </c>
      <c r="K30" s="398"/>
      <c r="L30" s="398"/>
      <c r="M30" s="398"/>
      <c r="N30" s="398"/>
      <c r="O30" s="398"/>
      <c r="P30" s="398"/>
      <c r="Q30" s="398"/>
    </row>
    <row r="31" spans="1:17" ht="12">
      <c r="A31" s="341"/>
      <c r="B31" s="342"/>
      <c r="C31" s="343" t="s">
        <v>311</v>
      </c>
      <c r="D31" s="344" t="s">
        <v>500</v>
      </c>
      <c r="E31" s="343">
        <v>0.27</v>
      </c>
      <c r="F31" s="343"/>
      <c r="G31" s="343"/>
      <c r="H31" s="345">
        <v>0</v>
      </c>
      <c r="J31" s="398" t="s">
        <v>516</v>
      </c>
      <c r="K31" s="398"/>
      <c r="L31" s="398"/>
      <c r="M31" s="398"/>
      <c r="N31" s="398"/>
      <c r="O31" s="398"/>
      <c r="P31" s="398"/>
      <c r="Q31" s="398"/>
    </row>
    <row r="32" spans="1:17" ht="12">
      <c r="A32" s="336" t="s">
        <v>517</v>
      </c>
      <c r="B32" s="337"/>
      <c r="C32" s="338" t="s">
        <v>320</v>
      </c>
      <c r="D32" s="339" t="s">
        <v>500</v>
      </c>
      <c r="E32" s="338">
        <v>2548</v>
      </c>
      <c r="F32" s="338"/>
      <c r="G32" s="338"/>
      <c r="H32" s="340">
        <v>0</v>
      </c>
      <c r="J32" s="398" t="s">
        <v>518</v>
      </c>
      <c r="K32" s="398"/>
      <c r="L32" s="398"/>
      <c r="M32" s="398"/>
      <c r="N32" s="398"/>
      <c r="O32" s="398"/>
      <c r="P32" s="398"/>
      <c r="Q32" s="398"/>
    </row>
    <row r="33" spans="1:11" ht="12">
      <c r="A33" s="341"/>
      <c r="B33" s="342"/>
      <c r="C33" s="343" t="s">
        <v>311</v>
      </c>
      <c r="D33" s="344" t="s">
        <v>500</v>
      </c>
      <c r="E33" s="343">
        <v>0.32</v>
      </c>
      <c r="F33" s="343"/>
      <c r="G33" s="343"/>
      <c r="H33" s="345">
        <v>0</v>
      </c>
      <c r="J33" s="398" t="s">
        <v>395</v>
      </c>
      <c r="K33" s="398"/>
    </row>
    <row r="34" spans="1:8" ht="12">
      <c r="A34" s="336" t="s">
        <v>396</v>
      </c>
      <c r="B34" s="337"/>
      <c r="C34" s="338" t="s">
        <v>311</v>
      </c>
      <c r="D34" s="339" t="s">
        <v>500</v>
      </c>
      <c r="E34" s="338">
        <v>0.214</v>
      </c>
      <c r="F34" s="338"/>
      <c r="G34" s="338"/>
      <c r="H34" s="340">
        <v>0</v>
      </c>
    </row>
    <row r="35" spans="1:8" ht="12">
      <c r="A35" s="333"/>
      <c r="B35" s="334"/>
      <c r="C35" t="s">
        <v>310</v>
      </c>
      <c r="D35" s="10" t="s">
        <v>500</v>
      </c>
      <c r="E35">
        <v>6.27</v>
      </c>
      <c r="H35" s="335">
        <v>0</v>
      </c>
    </row>
    <row r="36" spans="1:8" ht="12">
      <c r="A36" s="341"/>
      <c r="B36" s="342"/>
      <c r="C36" s="343" t="s">
        <v>327</v>
      </c>
      <c r="D36" s="344" t="s">
        <v>500</v>
      </c>
      <c r="E36" s="343">
        <v>1.49</v>
      </c>
      <c r="F36" s="343"/>
      <c r="G36" s="343"/>
      <c r="H36" s="345">
        <v>0</v>
      </c>
    </row>
    <row r="37" spans="1:8" ht="12">
      <c r="A37" s="336" t="s">
        <v>397</v>
      </c>
      <c r="B37" s="337"/>
      <c r="C37" s="338" t="s">
        <v>320</v>
      </c>
      <c r="D37" s="339" t="s">
        <v>500</v>
      </c>
      <c r="E37" s="338">
        <v>2736</v>
      </c>
      <c r="F37" s="338"/>
      <c r="G37" s="338"/>
      <c r="H37" s="340">
        <v>0</v>
      </c>
    </row>
    <row r="38" spans="1:8" ht="12">
      <c r="A38" s="341"/>
      <c r="B38" s="342"/>
      <c r="C38" s="343" t="s">
        <v>311</v>
      </c>
      <c r="D38" s="344" t="s">
        <v>500</v>
      </c>
      <c r="E38" s="343">
        <v>0.331</v>
      </c>
      <c r="F38" s="343"/>
      <c r="G38" s="343"/>
      <c r="H38" s="345">
        <v>0</v>
      </c>
    </row>
    <row r="39" spans="1:8" ht="12">
      <c r="A39" s="336" t="s">
        <v>398</v>
      </c>
      <c r="B39" s="337"/>
      <c r="C39" s="338" t="s">
        <v>320</v>
      </c>
      <c r="D39" s="339" t="s">
        <v>500</v>
      </c>
      <c r="E39" s="338">
        <v>3128</v>
      </c>
      <c r="F39" s="338"/>
      <c r="G39" s="338"/>
      <c r="H39" s="340">
        <v>0</v>
      </c>
    </row>
    <row r="40" spans="1:8" ht="12">
      <c r="A40" s="333"/>
      <c r="B40" s="334"/>
      <c r="C40" t="s">
        <v>311</v>
      </c>
      <c r="D40" s="10" t="s">
        <v>500</v>
      </c>
      <c r="E40">
        <v>0.24</v>
      </c>
      <c r="H40" s="335">
        <v>0</v>
      </c>
    </row>
    <row r="41" spans="1:8" ht="12">
      <c r="A41" s="341"/>
      <c r="B41" s="342"/>
      <c r="C41" s="343" t="s">
        <v>327</v>
      </c>
      <c r="D41" s="344" t="s">
        <v>500</v>
      </c>
      <c r="E41" s="343">
        <v>2.24</v>
      </c>
      <c r="F41" s="343"/>
      <c r="G41" s="343"/>
      <c r="H41" s="345">
        <v>0</v>
      </c>
    </row>
    <row r="42" spans="1:8" ht="12">
      <c r="A42" s="336" t="s">
        <v>399</v>
      </c>
      <c r="B42" s="337"/>
      <c r="C42" s="338" t="s">
        <v>320</v>
      </c>
      <c r="D42" s="339" t="s">
        <v>500</v>
      </c>
      <c r="E42" s="338">
        <v>3150</v>
      </c>
      <c r="F42" s="338"/>
      <c r="G42" s="338"/>
      <c r="H42" s="340">
        <v>0</v>
      </c>
    </row>
    <row r="43" spans="1:8" ht="12">
      <c r="A43" s="333"/>
      <c r="B43" s="334"/>
      <c r="C43" t="s">
        <v>311</v>
      </c>
      <c r="D43" s="10" t="s">
        <v>500</v>
      </c>
      <c r="E43">
        <v>0.25</v>
      </c>
      <c r="H43" s="335">
        <v>0</v>
      </c>
    </row>
    <row r="44" spans="1:8" ht="12">
      <c r="A44" s="341"/>
      <c r="B44" s="342"/>
      <c r="C44" s="343" t="s">
        <v>327</v>
      </c>
      <c r="D44" s="344" t="s">
        <v>500</v>
      </c>
      <c r="E44" s="343">
        <v>2.52</v>
      </c>
      <c r="F44" s="343"/>
      <c r="G44" s="343"/>
      <c r="H44" s="345">
        <v>0</v>
      </c>
    </row>
    <row r="45" spans="1:8" ht="12">
      <c r="A45" s="336" t="s">
        <v>400</v>
      </c>
      <c r="B45" s="337"/>
      <c r="C45" s="338" t="s">
        <v>320</v>
      </c>
      <c r="D45" s="339" t="s">
        <v>500</v>
      </c>
      <c r="E45" s="338">
        <v>2897</v>
      </c>
      <c r="F45" s="338"/>
      <c r="G45" s="338"/>
      <c r="H45" s="340">
        <v>0</v>
      </c>
    </row>
    <row r="46" spans="1:8" ht="12">
      <c r="A46" s="341"/>
      <c r="B46" s="342"/>
      <c r="C46" s="343" t="s">
        <v>311</v>
      </c>
      <c r="D46" s="344" t="s">
        <v>500</v>
      </c>
      <c r="E46" s="343">
        <v>0.21</v>
      </c>
      <c r="F46" s="343"/>
      <c r="G46" s="343"/>
      <c r="H46" s="345">
        <v>0</v>
      </c>
    </row>
    <row r="47" spans="1:8" ht="12">
      <c r="A47" s="336" t="s">
        <v>401</v>
      </c>
      <c r="B47" s="337"/>
      <c r="C47" s="338" t="s">
        <v>320</v>
      </c>
      <c r="D47" s="339" t="s">
        <v>500</v>
      </c>
      <c r="E47" s="338">
        <v>3131</v>
      </c>
      <c r="F47" s="338"/>
      <c r="G47" s="338"/>
      <c r="H47" s="340">
        <v>0</v>
      </c>
    </row>
    <row r="48" spans="1:8" ht="12">
      <c r="A48" s="341"/>
      <c r="B48" s="342"/>
      <c r="C48" s="343" t="s">
        <v>311</v>
      </c>
      <c r="D48" s="344" t="s">
        <v>500</v>
      </c>
      <c r="E48" s="343">
        <v>0.24</v>
      </c>
      <c r="F48" s="343"/>
      <c r="G48" s="343"/>
      <c r="H48" s="345">
        <v>0</v>
      </c>
    </row>
    <row r="49" spans="1:8" ht="12">
      <c r="A49" s="336" t="s">
        <v>402</v>
      </c>
      <c r="B49" s="337"/>
      <c r="C49" s="338" t="s">
        <v>320</v>
      </c>
      <c r="D49" s="339" t="s">
        <v>500</v>
      </c>
      <c r="E49" s="338">
        <v>3171</v>
      </c>
      <c r="F49" s="338"/>
      <c r="G49" s="338"/>
      <c r="H49" s="340">
        <v>0</v>
      </c>
    </row>
    <row r="50" spans="1:8" ht="12">
      <c r="A50" s="341"/>
      <c r="B50" s="342"/>
      <c r="C50" s="343" t="s">
        <v>311</v>
      </c>
      <c r="D50" s="344" t="s">
        <v>500</v>
      </c>
      <c r="E50" s="343">
        <v>0.25</v>
      </c>
      <c r="F50" s="343"/>
      <c r="G50" s="343"/>
      <c r="H50" s="345">
        <v>0</v>
      </c>
    </row>
    <row r="51" spans="1:8" ht="12">
      <c r="A51" s="336" t="s">
        <v>271</v>
      </c>
      <c r="B51" s="337"/>
      <c r="C51" s="338" t="s">
        <v>320</v>
      </c>
      <c r="D51" s="339" t="s">
        <v>500</v>
      </c>
      <c r="E51" s="338">
        <v>3410</v>
      </c>
      <c r="F51" s="338"/>
      <c r="G51" s="338"/>
      <c r="H51" s="340">
        <v>0</v>
      </c>
    </row>
    <row r="52" spans="1:8" ht="12">
      <c r="A52" s="341"/>
      <c r="B52" s="342"/>
      <c r="C52" s="343" t="s">
        <v>311</v>
      </c>
      <c r="D52" s="344" t="s">
        <v>500</v>
      </c>
      <c r="E52" s="343">
        <v>0.34</v>
      </c>
      <c r="F52" s="343"/>
      <c r="G52" s="343"/>
      <c r="H52" s="345">
        <v>0</v>
      </c>
    </row>
    <row r="53" spans="1:8" ht="12">
      <c r="A53" s="336" t="s">
        <v>403</v>
      </c>
      <c r="B53" s="337"/>
      <c r="C53" s="338" t="s">
        <v>311</v>
      </c>
      <c r="D53" s="339" t="s">
        <v>500</v>
      </c>
      <c r="E53" s="338">
        <v>0.24</v>
      </c>
      <c r="F53" s="338"/>
      <c r="G53" s="338"/>
      <c r="H53" s="340">
        <v>0</v>
      </c>
    </row>
    <row r="54" spans="1:8" ht="12">
      <c r="A54" s="341"/>
      <c r="B54" s="342"/>
      <c r="C54" s="343" t="s">
        <v>310</v>
      </c>
      <c r="D54" s="344" t="s">
        <v>500</v>
      </c>
      <c r="E54" s="343">
        <v>7.16</v>
      </c>
      <c r="F54" s="343"/>
      <c r="G54" s="343"/>
      <c r="H54" s="345">
        <v>0</v>
      </c>
    </row>
    <row r="55" spans="1:8" ht="12">
      <c r="A55" s="341" t="s">
        <v>404</v>
      </c>
      <c r="B55" s="342"/>
      <c r="C55" s="343"/>
      <c r="D55" s="344" t="s">
        <v>500</v>
      </c>
      <c r="E55" s="343">
        <v>0</v>
      </c>
      <c r="F55" s="343"/>
      <c r="G55" s="343"/>
      <c r="H55" s="345">
        <v>0</v>
      </c>
    </row>
    <row r="56" spans="1:8" ht="12">
      <c r="A56" s="348" t="s">
        <v>405</v>
      </c>
      <c r="B56" s="154"/>
      <c r="C56" s="154"/>
      <c r="D56" s="349"/>
      <c r="E56" s="154"/>
      <c r="F56" s="154"/>
      <c r="G56" s="154"/>
      <c r="H56" s="350">
        <v>0</v>
      </c>
    </row>
    <row r="57" ht="12">
      <c r="D57" s="10"/>
    </row>
    <row r="58" ht="12">
      <c r="D58" s="10"/>
    </row>
    <row r="59" ht="12">
      <c r="D59" s="10"/>
    </row>
    <row r="60" spans="1:4" ht="12">
      <c r="A60" s="1" t="s">
        <v>406</v>
      </c>
      <c r="B60" s="134" t="s">
        <v>407</v>
      </c>
      <c r="D60" s="10"/>
    </row>
    <row r="61" ht="12">
      <c r="D61" s="10"/>
    </row>
    <row r="62" spans="1:5" ht="12">
      <c r="A62" s="373" t="s">
        <v>408</v>
      </c>
      <c r="B62" s="373"/>
      <c r="C62" s="374"/>
      <c r="D62" s="374"/>
      <c r="E62" s="374"/>
    </row>
    <row r="63" spans="1:8" ht="12">
      <c r="A63" s="351" t="s">
        <v>409</v>
      </c>
      <c r="B63" s="155" t="s">
        <v>410</v>
      </c>
      <c r="C63" s="155" t="s">
        <v>499</v>
      </c>
      <c r="D63" s="352"/>
      <c r="E63" s="376" t="s">
        <v>358</v>
      </c>
      <c r="F63" s="376"/>
      <c r="G63" s="154"/>
      <c r="H63" s="354" t="s">
        <v>359</v>
      </c>
    </row>
    <row r="64" spans="1:17" ht="12">
      <c r="A64" s="333" t="s">
        <v>373</v>
      </c>
      <c r="B64" s="334"/>
      <c r="C64" t="s">
        <v>327</v>
      </c>
      <c r="D64" s="10" t="s">
        <v>500</v>
      </c>
      <c r="E64">
        <v>2.3</v>
      </c>
      <c r="H64" s="335">
        <v>0</v>
      </c>
      <c r="J64" s="398" t="s">
        <v>533</v>
      </c>
      <c r="K64" s="398"/>
      <c r="L64" s="398"/>
      <c r="M64" s="398"/>
      <c r="N64" s="398"/>
      <c r="O64" s="398"/>
      <c r="P64" s="398"/>
      <c r="Q64" s="398"/>
    </row>
    <row r="65" spans="1:18" ht="12">
      <c r="A65" s="333" t="s">
        <v>368</v>
      </c>
      <c r="B65" s="334"/>
      <c r="C65" t="s">
        <v>327</v>
      </c>
      <c r="D65" s="10" t="s">
        <v>500</v>
      </c>
      <c r="E65">
        <v>2.63</v>
      </c>
      <c r="H65" s="335">
        <v>0</v>
      </c>
      <c r="J65" s="398" t="s">
        <v>534</v>
      </c>
      <c r="K65" s="398"/>
      <c r="L65" s="398"/>
      <c r="M65" s="398"/>
      <c r="N65" s="398"/>
      <c r="O65" s="398"/>
      <c r="P65" s="398"/>
      <c r="Q65" s="398"/>
      <c r="R65" s="398"/>
    </row>
    <row r="66" spans="1:15" ht="12">
      <c r="A66" s="333" t="s">
        <v>535</v>
      </c>
      <c r="B66" s="334"/>
      <c r="C66" t="s">
        <v>317</v>
      </c>
      <c r="D66" s="10" t="s">
        <v>500</v>
      </c>
      <c r="E66">
        <v>2.65</v>
      </c>
      <c r="H66" s="335">
        <v>0</v>
      </c>
      <c r="J66" s="398" t="s">
        <v>536</v>
      </c>
      <c r="K66" s="398"/>
      <c r="L66" s="398"/>
      <c r="M66" s="398"/>
      <c r="N66" s="398"/>
      <c r="O66" s="398"/>
    </row>
    <row r="67" spans="1:8" ht="12">
      <c r="A67" s="341" t="s">
        <v>433</v>
      </c>
      <c r="B67" s="342"/>
      <c r="C67" s="343" t="s">
        <v>327</v>
      </c>
      <c r="D67" s="344" t="s">
        <v>500</v>
      </c>
      <c r="E67" s="343">
        <v>1.49</v>
      </c>
      <c r="F67" s="343"/>
      <c r="G67" s="343"/>
      <c r="H67" s="345">
        <v>0</v>
      </c>
    </row>
    <row r="68" spans="1:8" ht="12">
      <c r="A68" s="348" t="s">
        <v>405</v>
      </c>
      <c r="B68" s="154"/>
      <c r="C68" s="154"/>
      <c r="D68" s="349"/>
      <c r="E68" s="154"/>
      <c r="F68" s="154"/>
      <c r="G68" s="154"/>
      <c r="H68" s="350">
        <v>0</v>
      </c>
    </row>
    <row r="69" ht="12">
      <c r="D69" s="10"/>
    </row>
    <row r="70" spans="1:8" ht="12">
      <c r="A70" s="373" t="s">
        <v>434</v>
      </c>
      <c r="B70" s="373"/>
      <c r="C70" s="373"/>
      <c r="D70" s="374"/>
      <c r="E70" s="374"/>
      <c r="F70" s="374"/>
      <c r="G70" s="374"/>
      <c r="H70" s="374"/>
    </row>
    <row r="71" spans="1:8" ht="12">
      <c r="A71" s="355" t="s">
        <v>435</v>
      </c>
      <c r="B71" s="356" t="s">
        <v>436</v>
      </c>
      <c r="C71" s="356" t="s">
        <v>499</v>
      </c>
      <c r="D71" s="187" t="s">
        <v>500</v>
      </c>
      <c r="E71" s="376" t="s">
        <v>358</v>
      </c>
      <c r="F71" s="376"/>
      <c r="G71" s="338"/>
      <c r="H71" s="357" t="s">
        <v>359</v>
      </c>
    </row>
    <row r="72" spans="1:17" ht="12">
      <c r="A72" s="336" t="s">
        <v>437</v>
      </c>
      <c r="B72" s="337"/>
      <c r="C72" s="338" t="s">
        <v>438</v>
      </c>
      <c r="D72" s="339" t="s">
        <v>500</v>
      </c>
      <c r="E72" s="338">
        <v>0.26</v>
      </c>
      <c r="F72" s="338"/>
      <c r="G72" s="338"/>
      <c r="H72" s="340">
        <v>0</v>
      </c>
      <c r="J72" s="398" t="s">
        <v>439</v>
      </c>
      <c r="K72" s="398"/>
      <c r="L72" s="398"/>
      <c r="M72" s="398"/>
      <c r="N72" s="398"/>
      <c r="O72" s="398"/>
      <c r="P72" s="398"/>
      <c r="Q72" s="398"/>
    </row>
    <row r="73" spans="1:17" ht="12">
      <c r="A73" s="341" t="s">
        <v>440</v>
      </c>
      <c r="B73" s="342"/>
      <c r="C73" s="343" t="s">
        <v>441</v>
      </c>
      <c r="D73" s="344" t="s">
        <v>500</v>
      </c>
      <c r="E73" s="343">
        <v>0.16</v>
      </c>
      <c r="F73" s="343"/>
      <c r="G73" s="343"/>
      <c r="H73" s="345">
        <v>0</v>
      </c>
      <c r="J73" s="398" t="s">
        <v>442</v>
      </c>
      <c r="K73" s="398"/>
      <c r="L73" s="398"/>
      <c r="M73" s="398"/>
      <c r="N73" s="398"/>
      <c r="O73" s="398"/>
      <c r="P73" s="398"/>
      <c r="Q73" s="398"/>
    </row>
    <row r="74" spans="1:17" ht="12">
      <c r="A74" s="336" t="s">
        <v>443</v>
      </c>
      <c r="B74" s="337"/>
      <c r="C74" s="338" t="s">
        <v>438</v>
      </c>
      <c r="D74" s="339" t="s">
        <v>500</v>
      </c>
      <c r="E74" s="338">
        <v>0.3</v>
      </c>
      <c r="F74" s="338"/>
      <c r="G74" s="338"/>
      <c r="H74" s="340">
        <v>0</v>
      </c>
      <c r="J74" s="398" t="s">
        <v>444</v>
      </c>
      <c r="K74" s="398"/>
      <c r="L74" s="398"/>
      <c r="M74" s="398"/>
      <c r="N74" s="398"/>
      <c r="O74" s="398"/>
      <c r="P74" s="398"/>
      <c r="Q74" s="398"/>
    </row>
    <row r="75" spans="1:11" ht="12">
      <c r="A75" s="341" t="s">
        <v>445</v>
      </c>
      <c r="B75" s="342"/>
      <c r="C75" s="343" t="s">
        <v>441</v>
      </c>
      <c r="D75" s="344" t="s">
        <v>500</v>
      </c>
      <c r="E75" s="343">
        <v>0.19</v>
      </c>
      <c r="F75" s="343"/>
      <c r="G75" s="343"/>
      <c r="H75" s="345">
        <v>0</v>
      </c>
      <c r="J75" s="398" t="s">
        <v>446</v>
      </c>
      <c r="K75" s="398"/>
    </row>
    <row r="76" spans="1:8" ht="12">
      <c r="A76" s="336" t="s">
        <v>447</v>
      </c>
      <c r="B76" s="337"/>
      <c r="C76" s="338" t="s">
        <v>438</v>
      </c>
      <c r="D76" s="339" t="s">
        <v>500</v>
      </c>
      <c r="E76" s="338">
        <v>0.35</v>
      </c>
      <c r="F76" s="338"/>
      <c r="G76" s="338"/>
      <c r="H76" s="340">
        <v>0</v>
      </c>
    </row>
    <row r="77" spans="1:8" ht="12">
      <c r="A77" s="341" t="s">
        <v>448</v>
      </c>
      <c r="B77" s="342"/>
      <c r="C77" s="343" t="s">
        <v>441</v>
      </c>
      <c r="D77" s="344" t="s">
        <v>500</v>
      </c>
      <c r="E77" s="343">
        <v>0.22</v>
      </c>
      <c r="F77" s="343"/>
      <c r="G77" s="343"/>
      <c r="H77" s="345">
        <v>0</v>
      </c>
    </row>
    <row r="78" spans="1:8" ht="12">
      <c r="A78" s="333" t="s">
        <v>449</v>
      </c>
      <c r="B78" s="334"/>
      <c r="C78" t="s">
        <v>438</v>
      </c>
      <c r="D78" s="10" t="s">
        <v>500</v>
      </c>
      <c r="E78">
        <v>0.29</v>
      </c>
      <c r="H78" s="335">
        <v>0</v>
      </c>
    </row>
    <row r="79" spans="1:8" ht="12">
      <c r="A79" s="341"/>
      <c r="B79" s="342"/>
      <c r="C79" s="343" t="s">
        <v>441</v>
      </c>
      <c r="D79" s="344" t="s">
        <v>500</v>
      </c>
      <c r="E79" s="343">
        <v>0.18</v>
      </c>
      <c r="F79" s="343"/>
      <c r="G79" s="343"/>
      <c r="H79" s="345">
        <v>0</v>
      </c>
    </row>
    <row r="80" spans="1:8" ht="12">
      <c r="A80" s="348" t="s">
        <v>405</v>
      </c>
      <c r="B80" s="154"/>
      <c r="C80" s="154"/>
      <c r="D80" s="349"/>
      <c r="E80" s="154"/>
      <c r="F80" s="154"/>
      <c r="G80" s="154"/>
      <c r="H80" s="350">
        <v>0</v>
      </c>
    </row>
    <row r="81" spans="1:8" ht="12">
      <c r="A81" s="1"/>
      <c r="D81" s="10"/>
      <c r="H81" s="358"/>
    </row>
    <row r="82" spans="1:8" ht="12">
      <c r="A82" s="373" t="s">
        <v>450</v>
      </c>
      <c r="B82" s="373"/>
      <c r="C82" s="373"/>
      <c r="D82" s="374"/>
      <c r="E82" s="374"/>
      <c r="F82" s="374"/>
      <c r="G82" s="374"/>
      <c r="H82" s="374"/>
    </row>
    <row r="83" spans="1:8" ht="12">
      <c r="A83" s="355" t="s">
        <v>451</v>
      </c>
      <c r="B83" s="356" t="s">
        <v>452</v>
      </c>
      <c r="C83" s="356" t="s">
        <v>499</v>
      </c>
      <c r="D83" s="187" t="s">
        <v>500</v>
      </c>
      <c r="E83" s="376" t="s">
        <v>358</v>
      </c>
      <c r="F83" s="376"/>
      <c r="G83" s="356"/>
      <c r="H83" s="357" t="s">
        <v>359</v>
      </c>
    </row>
    <row r="84" spans="1:17" ht="12">
      <c r="A84" s="336" t="s">
        <v>453</v>
      </c>
      <c r="B84" s="337"/>
      <c r="C84" s="338" t="s">
        <v>438</v>
      </c>
      <c r="D84" s="339" t="s">
        <v>500</v>
      </c>
      <c r="E84" s="338">
        <v>0.26</v>
      </c>
      <c r="F84" s="338"/>
      <c r="G84" s="338"/>
      <c r="H84" s="340">
        <v>0</v>
      </c>
      <c r="J84" s="398" t="s">
        <v>439</v>
      </c>
      <c r="K84" s="398"/>
      <c r="L84" s="398"/>
      <c r="M84" s="398"/>
      <c r="N84" s="398"/>
      <c r="O84" s="398"/>
      <c r="P84" s="398"/>
      <c r="Q84" s="398"/>
    </row>
    <row r="85" spans="1:17" ht="12">
      <c r="A85" s="341" t="s">
        <v>454</v>
      </c>
      <c r="B85" s="342"/>
      <c r="C85" s="343" t="s">
        <v>441</v>
      </c>
      <c r="D85" s="344" t="s">
        <v>500</v>
      </c>
      <c r="E85" s="343">
        <v>0.16</v>
      </c>
      <c r="F85" s="343"/>
      <c r="G85" s="343"/>
      <c r="H85" s="345">
        <v>0</v>
      </c>
      <c r="J85" s="398" t="s">
        <v>442</v>
      </c>
      <c r="K85" s="398"/>
      <c r="L85" s="398"/>
      <c r="M85" s="398"/>
      <c r="N85" s="398"/>
      <c r="O85" s="398"/>
      <c r="P85" s="398"/>
      <c r="Q85" s="398"/>
    </row>
    <row r="86" spans="1:17" ht="12">
      <c r="A86" s="336" t="s">
        <v>455</v>
      </c>
      <c r="B86" s="337"/>
      <c r="C86" s="338" t="s">
        <v>438</v>
      </c>
      <c r="D86" s="339" t="s">
        <v>500</v>
      </c>
      <c r="E86" s="338">
        <v>0.31</v>
      </c>
      <c r="F86" s="338"/>
      <c r="G86" s="338"/>
      <c r="H86" s="340">
        <v>0</v>
      </c>
      <c r="J86" s="398" t="s">
        <v>444</v>
      </c>
      <c r="K86" s="398"/>
      <c r="L86" s="398"/>
      <c r="M86" s="398"/>
      <c r="N86" s="398"/>
      <c r="O86" s="398"/>
      <c r="P86" s="398"/>
      <c r="Q86" s="398"/>
    </row>
    <row r="87" spans="1:11" ht="12">
      <c r="A87" s="341" t="s">
        <v>456</v>
      </c>
      <c r="B87" s="342"/>
      <c r="C87" s="343" t="s">
        <v>441</v>
      </c>
      <c r="D87" s="344" t="s">
        <v>500</v>
      </c>
      <c r="E87" s="343">
        <v>0.19</v>
      </c>
      <c r="F87" s="343"/>
      <c r="G87" s="343"/>
      <c r="H87" s="345">
        <v>0</v>
      </c>
      <c r="J87" s="398" t="s">
        <v>446</v>
      </c>
      <c r="K87" s="398"/>
    </row>
    <row r="88" spans="1:8" ht="12">
      <c r="A88" s="333" t="s">
        <v>457</v>
      </c>
      <c r="B88" s="334"/>
      <c r="C88" t="s">
        <v>438</v>
      </c>
      <c r="D88" s="10" t="s">
        <v>500</v>
      </c>
      <c r="E88">
        <v>0.27</v>
      </c>
      <c r="H88" s="335">
        <v>0</v>
      </c>
    </row>
    <row r="89" spans="1:8" ht="12">
      <c r="A89" s="341"/>
      <c r="B89" s="342"/>
      <c r="C89" s="343" t="s">
        <v>441</v>
      </c>
      <c r="D89" s="344" t="s">
        <v>500</v>
      </c>
      <c r="E89" s="343">
        <v>0.17</v>
      </c>
      <c r="F89" s="343"/>
      <c r="G89" s="343"/>
      <c r="H89" s="345">
        <v>0</v>
      </c>
    </row>
    <row r="90" spans="1:8" ht="12">
      <c r="A90" s="348" t="s">
        <v>405</v>
      </c>
      <c r="B90" s="154"/>
      <c r="C90" s="154"/>
      <c r="D90" s="349"/>
      <c r="E90" s="154"/>
      <c r="F90" s="154"/>
      <c r="G90" s="154"/>
      <c r="H90" s="350">
        <v>0</v>
      </c>
    </row>
    <row r="91" spans="4:8" ht="12">
      <c r="D91" s="10"/>
      <c r="H91" s="359"/>
    </row>
    <row r="92" spans="1:8" ht="12">
      <c r="A92" s="373" t="s">
        <v>458</v>
      </c>
      <c r="B92" s="373"/>
      <c r="C92" s="373"/>
      <c r="D92" s="374"/>
      <c r="E92" s="374"/>
      <c r="F92" s="374"/>
      <c r="G92" s="374"/>
      <c r="H92" s="374"/>
    </row>
    <row r="93" spans="1:8" ht="12">
      <c r="A93" s="336" t="s">
        <v>459</v>
      </c>
      <c r="B93" s="338" t="s">
        <v>460</v>
      </c>
      <c r="C93" s="375" t="s">
        <v>461</v>
      </c>
      <c r="D93" s="375"/>
      <c r="E93" s="375" t="s">
        <v>462</v>
      </c>
      <c r="F93" s="375"/>
      <c r="G93" s="338" t="s">
        <v>463</v>
      </c>
      <c r="H93" s="261" t="s">
        <v>359</v>
      </c>
    </row>
    <row r="94" spans="1:17" ht="12">
      <c r="A94" s="336" t="s">
        <v>464</v>
      </c>
      <c r="B94" s="360">
        <v>0</v>
      </c>
      <c r="C94" s="337"/>
      <c r="D94" s="339" t="s">
        <v>500</v>
      </c>
      <c r="E94" s="338">
        <v>0.236</v>
      </c>
      <c r="F94" s="338" t="s">
        <v>500</v>
      </c>
      <c r="G94" s="338">
        <v>2.63</v>
      </c>
      <c r="H94" s="340">
        <v>0</v>
      </c>
      <c r="J94" s="398" t="s">
        <v>567</v>
      </c>
      <c r="K94" s="398"/>
      <c r="L94" s="398"/>
      <c r="M94" s="398"/>
      <c r="N94" s="398"/>
      <c r="O94" s="398"/>
      <c r="P94" s="398"/>
      <c r="Q94" s="398"/>
    </row>
    <row r="95" spans="1:17" ht="12">
      <c r="A95" s="333"/>
      <c r="B95" s="361">
        <v>0.25</v>
      </c>
      <c r="C95" s="334"/>
      <c r="D95" s="10" t="s">
        <v>500</v>
      </c>
      <c r="E95">
        <v>0.262</v>
      </c>
      <c r="F95" t="s">
        <v>500</v>
      </c>
      <c r="G95">
        <v>2.63</v>
      </c>
      <c r="H95" s="335">
        <v>0</v>
      </c>
      <c r="J95" s="398" t="s">
        <v>568</v>
      </c>
      <c r="K95" s="398"/>
      <c r="L95" s="398"/>
      <c r="M95" s="398"/>
      <c r="N95" s="398"/>
      <c r="O95" s="398"/>
      <c r="P95" s="398"/>
      <c r="Q95" s="398"/>
    </row>
    <row r="96" spans="1:17" ht="12">
      <c r="A96" s="333"/>
      <c r="B96" s="361">
        <v>0.5</v>
      </c>
      <c r="C96" s="334"/>
      <c r="D96" s="10" t="s">
        <v>500</v>
      </c>
      <c r="E96">
        <v>0.288</v>
      </c>
      <c r="F96" t="s">
        <v>500</v>
      </c>
      <c r="G96">
        <v>2.63</v>
      </c>
      <c r="H96" s="335">
        <v>0</v>
      </c>
      <c r="J96" s="398" t="s">
        <v>481</v>
      </c>
      <c r="K96" s="398"/>
      <c r="L96" s="398"/>
      <c r="M96" s="398"/>
      <c r="N96" s="398"/>
      <c r="O96" s="398"/>
      <c r="P96" s="398"/>
      <c r="Q96" s="398"/>
    </row>
    <row r="97" spans="1:17" ht="12">
      <c r="A97" s="333"/>
      <c r="B97" s="361">
        <v>0.75</v>
      </c>
      <c r="C97" s="334"/>
      <c r="D97" s="10" t="s">
        <v>500</v>
      </c>
      <c r="E97">
        <v>0.314</v>
      </c>
      <c r="F97" t="s">
        <v>500</v>
      </c>
      <c r="G97">
        <v>2.63</v>
      </c>
      <c r="H97" s="335"/>
      <c r="J97" s="398" t="s">
        <v>482</v>
      </c>
      <c r="K97" s="398"/>
      <c r="L97" s="398"/>
      <c r="M97" s="398"/>
      <c r="N97" s="398"/>
      <c r="O97" s="398"/>
      <c r="P97" s="398"/>
      <c r="Q97" s="398"/>
    </row>
    <row r="98" spans="1:17" ht="12">
      <c r="A98" s="341"/>
      <c r="B98" s="362">
        <v>1</v>
      </c>
      <c r="C98" s="342"/>
      <c r="D98" s="344" t="s">
        <v>500</v>
      </c>
      <c r="E98" s="343">
        <v>0.34</v>
      </c>
      <c r="F98" s="343" t="s">
        <v>500</v>
      </c>
      <c r="G98" s="343">
        <v>2.63</v>
      </c>
      <c r="H98" s="345">
        <v>0</v>
      </c>
      <c r="J98" s="398" t="s">
        <v>483</v>
      </c>
      <c r="K98" s="398"/>
      <c r="L98" s="398"/>
      <c r="M98" s="398"/>
      <c r="N98" s="398"/>
      <c r="O98" s="398"/>
      <c r="P98" s="398"/>
      <c r="Q98" s="398"/>
    </row>
    <row r="99" spans="1:15" ht="12">
      <c r="A99" s="333" t="s">
        <v>484</v>
      </c>
      <c r="B99" s="361">
        <v>0</v>
      </c>
      <c r="C99" s="334"/>
      <c r="D99" s="10" t="s">
        <v>500</v>
      </c>
      <c r="E99">
        <v>0.311</v>
      </c>
      <c r="F99" t="s">
        <v>500</v>
      </c>
      <c r="G99">
        <v>2.63</v>
      </c>
      <c r="H99" s="335">
        <v>0</v>
      </c>
      <c r="J99" s="398" t="s">
        <v>485</v>
      </c>
      <c r="K99" s="398"/>
      <c r="L99" s="398"/>
      <c r="M99" s="398"/>
      <c r="N99" s="398"/>
      <c r="O99" s="398"/>
    </row>
    <row r="100" spans="1:16" ht="12">
      <c r="A100" s="333"/>
      <c r="B100" s="361">
        <v>0.25</v>
      </c>
      <c r="C100" s="334"/>
      <c r="D100" s="10" t="s">
        <v>500</v>
      </c>
      <c r="E100">
        <v>0.345</v>
      </c>
      <c r="F100" t="s">
        <v>500</v>
      </c>
      <c r="G100">
        <v>2.63</v>
      </c>
      <c r="H100" s="335">
        <v>0</v>
      </c>
      <c r="J100" s="398" t="s">
        <v>486</v>
      </c>
      <c r="K100" s="398"/>
      <c r="L100" s="398"/>
      <c r="M100" s="398"/>
      <c r="N100" s="398"/>
      <c r="O100" s="398"/>
      <c r="P100" s="398"/>
    </row>
    <row r="101" spans="1:16" ht="12">
      <c r="A101" s="333"/>
      <c r="B101" s="361">
        <v>0.5</v>
      </c>
      <c r="C101" s="334"/>
      <c r="D101" s="10" t="s">
        <v>500</v>
      </c>
      <c r="E101">
        <v>0.379</v>
      </c>
      <c r="F101" t="s">
        <v>500</v>
      </c>
      <c r="G101">
        <v>2.63</v>
      </c>
      <c r="H101" s="335">
        <v>0</v>
      </c>
      <c r="J101" s="398" t="s">
        <v>487</v>
      </c>
      <c r="K101" s="398"/>
      <c r="L101" s="398"/>
      <c r="M101" s="398"/>
      <c r="N101" s="398"/>
      <c r="O101" s="398"/>
      <c r="P101" s="398"/>
    </row>
    <row r="102" spans="1:14" ht="12">
      <c r="A102" s="333"/>
      <c r="B102" s="361">
        <v>0.75</v>
      </c>
      <c r="C102" s="334"/>
      <c r="D102" s="10" t="s">
        <v>500</v>
      </c>
      <c r="E102">
        <v>0.414</v>
      </c>
      <c r="F102" t="s">
        <v>500</v>
      </c>
      <c r="G102">
        <v>2.63</v>
      </c>
      <c r="H102" s="335">
        <v>0</v>
      </c>
      <c r="J102" s="398" t="s">
        <v>592</v>
      </c>
      <c r="K102" s="398"/>
      <c r="L102" s="398"/>
      <c r="M102" s="398"/>
      <c r="N102" s="398"/>
    </row>
    <row r="103" spans="1:18" ht="12">
      <c r="A103" s="341"/>
      <c r="B103" s="362">
        <v>1</v>
      </c>
      <c r="C103" s="342"/>
      <c r="D103" s="344" t="s">
        <v>500</v>
      </c>
      <c r="E103" s="343">
        <v>0.448</v>
      </c>
      <c r="F103" s="343" t="s">
        <v>500</v>
      </c>
      <c r="G103" s="343">
        <v>2.63</v>
      </c>
      <c r="H103" s="345">
        <v>0</v>
      </c>
      <c r="J103" s="398" t="s">
        <v>593</v>
      </c>
      <c r="K103" s="398"/>
      <c r="L103" s="398"/>
      <c r="M103" s="398"/>
      <c r="N103" s="398"/>
      <c r="O103" s="398"/>
      <c r="P103" s="398"/>
      <c r="Q103" s="398"/>
      <c r="R103" s="398"/>
    </row>
    <row r="104" spans="1:14" ht="12">
      <c r="A104" s="348" t="s">
        <v>405</v>
      </c>
      <c r="B104" s="154"/>
      <c r="C104" s="154"/>
      <c r="D104" s="349"/>
      <c r="E104" s="154"/>
      <c r="F104" s="154"/>
      <c r="G104" s="154"/>
      <c r="H104" s="350">
        <v>0</v>
      </c>
      <c r="J104" s="398" t="s">
        <v>594</v>
      </c>
      <c r="K104" s="398"/>
      <c r="L104" s="398"/>
      <c r="M104" s="398"/>
      <c r="N104" s="398"/>
    </row>
    <row r="105" spans="4:8" ht="12">
      <c r="D105" s="10"/>
      <c r="H105" s="359"/>
    </row>
    <row r="106" spans="4:8" ht="12">
      <c r="D106" s="10"/>
      <c r="H106" s="359"/>
    </row>
    <row r="107" spans="1:8" ht="12">
      <c r="A107" s="1" t="s">
        <v>595</v>
      </c>
      <c r="D107" s="10"/>
      <c r="H107" s="359"/>
    </row>
    <row r="108" spans="4:12" ht="12">
      <c r="D108" s="10"/>
      <c r="J108" s="398" t="s">
        <v>596</v>
      </c>
      <c r="K108" s="398"/>
      <c r="L108" s="398"/>
    </row>
    <row r="109" spans="1:18" ht="12">
      <c r="A109" s="373" t="s">
        <v>501</v>
      </c>
      <c r="B109" s="373"/>
      <c r="C109" s="374"/>
      <c r="D109" s="374"/>
      <c r="E109" s="374"/>
      <c r="F109" s="374"/>
      <c r="G109" s="374"/>
      <c r="H109" s="374"/>
      <c r="J109" s="398" t="s">
        <v>502</v>
      </c>
      <c r="K109" s="398"/>
      <c r="L109" s="398"/>
      <c r="M109" s="398"/>
      <c r="N109" s="398"/>
      <c r="O109" s="398"/>
      <c r="P109" s="398"/>
      <c r="Q109" s="398"/>
      <c r="R109" s="398"/>
    </row>
    <row r="110" spans="1:18" ht="12">
      <c r="A110" s="351" t="s">
        <v>503</v>
      </c>
      <c r="B110" s="154"/>
      <c r="C110" s="155" t="s">
        <v>504</v>
      </c>
      <c r="D110" s="352" t="s">
        <v>500</v>
      </c>
      <c r="E110" s="372" t="s">
        <v>505</v>
      </c>
      <c r="F110" s="372"/>
      <c r="G110" s="155"/>
      <c r="H110" s="354" t="s">
        <v>359</v>
      </c>
      <c r="J110" s="398" t="s">
        <v>506</v>
      </c>
      <c r="K110" s="398"/>
      <c r="L110" s="398"/>
      <c r="M110" s="398"/>
      <c r="N110" s="398"/>
      <c r="O110" s="398"/>
      <c r="P110" s="398"/>
      <c r="Q110" s="398"/>
      <c r="R110" s="398"/>
    </row>
    <row r="111" spans="1:18" ht="12">
      <c r="A111" s="333" t="s">
        <v>507</v>
      </c>
      <c r="C111" s="334"/>
      <c r="D111" s="10" t="s">
        <v>500</v>
      </c>
      <c r="E111" s="10">
        <v>0.04</v>
      </c>
      <c r="H111" s="335">
        <v>0</v>
      </c>
      <c r="J111" s="398" t="s">
        <v>508</v>
      </c>
      <c r="K111" s="398"/>
      <c r="L111" s="398"/>
      <c r="M111" s="398"/>
      <c r="N111" s="398"/>
      <c r="O111" s="398"/>
      <c r="P111" s="398"/>
      <c r="Q111" s="398"/>
      <c r="R111" s="398"/>
    </row>
    <row r="112" spans="1:17" ht="12">
      <c r="A112" s="336" t="s">
        <v>509</v>
      </c>
      <c r="B112" s="338" t="s">
        <v>510</v>
      </c>
      <c r="C112" s="337"/>
      <c r="D112" s="339" t="s">
        <v>500</v>
      </c>
      <c r="E112" s="339">
        <v>0.11</v>
      </c>
      <c r="F112" s="338"/>
      <c r="G112" s="338"/>
      <c r="H112" s="340">
        <v>0</v>
      </c>
      <c r="J112" s="398" t="s">
        <v>511</v>
      </c>
      <c r="K112" s="398"/>
      <c r="L112" s="398"/>
      <c r="M112" s="398"/>
      <c r="N112" s="398"/>
      <c r="O112" s="398"/>
      <c r="P112" s="398"/>
      <c r="Q112" s="398"/>
    </row>
    <row r="113" spans="1:14" ht="12">
      <c r="A113" s="341"/>
      <c r="B113" s="343" t="s">
        <v>512</v>
      </c>
      <c r="C113" s="342"/>
      <c r="D113" s="344" t="s">
        <v>500</v>
      </c>
      <c r="E113" s="344">
        <v>0.15</v>
      </c>
      <c r="F113" s="343"/>
      <c r="G113" s="343"/>
      <c r="H113" s="345">
        <v>0</v>
      </c>
      <c r="J113" s="398" t="s">
        <v>513</v>
      </c>
      <c r="K113" s="398"/>
      <c r="L113" s="398"/>
      <c r="M113" s="398"/>
      <c r="N113" s="398"/>
    </row>
    <row r="114" spans="1:18" ht="12">
      <c r="A114" s="348" t="s">
        <v>405</v>
      </c>
      <c r="B114" s="154"/>
      <c r="C114" s="154"/>
      <c r="D114" s="349"/>
      <c r="E114" s="154"/>
      <c r="F114" s="154"/>
      <c r="G114" s="154"/>
      <c r="H114" s="350">
        <v>0</v>
      </c>
      <c r="J114" s="398" t="s">
        <v>514</v>
      </c>
      <c r="K114" s="398"/>
      <c r="L114" s="398"/>
      <c r="M114" s="398"/>
      <c r="N114" s="398"/>
      <c r="O114" s="398"/>
      <c r="P114" s="398"/>
      <c r="Q114" s="398"/>
      <c r="R114" s="398"/>
    </row>
    <row r="115" spans="4:18" ht="12">
      <c r="D115" s="10"/>
      <c r="J115" s="398" t="s">
        <v>617</v>
      </c>
      <c r="K115" s="398"/>
      <c r="L115" s="398"/>
      <c r="M115" s="398"/>
      <c r="N115" s="398"/>
      <c r="O115" s="398"/>
      <c r="P115" s="398"/>
      <c r="Q115" s="398"/>
      <c r="R115" s="398"/>
    </row>
    <row r="116" ht="12">
      <c r="D116" s="10"/>
    </row>
    <row r="117" spans="1:4" ht="12">
      <c r="A117" s="402" t="s">
        <v>618</v>
      </c>
      <c r="B117" s="402"/>
      <c r="D117" s="10"/>
    </row>
    <row r="118" spans="1:18" ht="12">
      <c r="A118" s="347" t="s">
        <v>519</v>
      </c>
      <c r="B118" s="154"/>
      <c r="C118" s="154" t="s">
        <v>520</v>
      </c>
      <c r="D118" s="349" t="s">
        <v>500</v>
      </c>
      <c r="E118" s="154" t="s">
        <v>521</v>
      </c>
      <c r="F118" s="154"/>
      <c r="G118" s="154"/>
      <c r="H118" s="353" t="s">
        <v>359</v>
      </c>
      <c r="J118" s="398" t="s">
        <v>522</v>
      </c>
      <c r="K118" s="398"/>
      <c r="L118" s="398"/>
      <c r="M118" s="398"/>
      <c r="N118" s="398"/>
      <c r="O118" s="398"/>
      <c r="P118" s="398"/>
      <c r="Q118" s="398"/>
      <c r="R118" s="398"/>
    </row>
    <row r="119" spans="1:15" ht="12">
      <c r="A119" s="333" t="s">
        <v>507</v>
      </c>
      <c r="C119" s="334"/>
      <c r="D119" s="10" t="s">
        <v>500</v>
      </c>
      <c r="E119">
        <v>0.03</v>
      </c>
      <c r="H119" s="335">
        <v>0</v>
      </c>
      <c r="J119" s="398" t="s">
        <v>523</v>
      </c>
      <c r="K119" s="398"/>
      <c r="L119" s="398"/>
      <c r="M119" s="398"/>
      <c r="N119" s="398"/>
      <c r="O119" s="398"/>
    </row>
    <row r="120" spans="1:16" ht="12">
      <c r="A120" s="336" t="s">
        <v>524</v>
      </c>
      <c r="B120" s="338" t="s">
        <v>510</v>
      </c>
      <c r="C120" s="337"/>
      <c r="D120" s="339" t="s">
        <v>500</v>
      </c>
      <c r="E120" s="338">
        <v>0.57</v>
      </c>
      <c r="F120" s="338"/>
      <c r="G120" s="338"/>
      <c r="H120" s="340">
        <v>0</v>
      </c>
      <c r="J120" s="398" t="s">
        <v>525</v>
      </c>
      <c r="K120" s="398"/>
      <c r="L120" s="398"/>
      <c r="M120" s="398"/>
      <c r="N120" s="398"/>
      <c r="O120" s="398"/>
      <c r="P120" s="398"/>
    </row>
    <row r="121" spans="1:18" ht="12">
      <c r="A121" s="341"/>
      <c r="B121" s="343" t="s">
        <v>512</v>
      </c>
      <c r="C121" s="342"/>
      <c r="D121" s="344" t="s">
        <v>500</v>
      </c>
      <c r="E121" s="343">
        <v>1.58</v>
      </c>
      <c r="F121" s="343"/>
      <c r="G121" s="343"/>
      <c r="H121" s="345">
        <v>0</v>
      </c>
      <c r="J121" s="398" t="s">
        <v>526</v>
      </c>
      <c r="K121" s="398"/>
      <c r="L121" s="398"/>
      <c r="M121" s="398"/>
      <c r="N121" s="398"/>
      <c r="O121" s="398"/>
      <c r="P121" s="398"/>
      <c r="Q121" s="398"/>
      <c r="R121" s="398"/>
    </row>
    <row r="122" spans="1:15" ht="12">
      <c r="A122" s="333" t="s">
        <v>527</v>
      </c>
      <c r="B122" t="s">
        <v>528</v>
      </c>
      <c r="C122" s="334"/>
      <c r="D122" s="10" t="s">
        <v>500</v>
      </c>
      <c r="E122">
        <v>0.06</v>
      </c>
      <c r="H122" s="335">
        <v>0</v>
      </c>
      <c r="J122" s="398" t="s">
        <v>529</v>
      </c>
      <c r="K122" s="398"/>
      <c r="L122" s="398"/>
      <c r="M122" s="398"/>
      <c r="N122" s="398"/>
      <c r="O122" s="398"/>
    </row>
    <row r="123" spans="1:15" ht="12">
      <c r="A123" s="333"/>
      <c r="B123" t="s">
        <v>530</v>
      </c>
      <c r="C123" s="334"/>
      <c r="D123" s="10" t="s">
        <v>500</v>
      </c>
      <c r="E123">
        <v>0.02</v>
      </c>
      <c r="H123" s="335">
        <v>0</v>
      </c>
      <c r="J123" s="398" t="s">
        <v>531</v>
      </c>
      <c r="K123" s="398"/>
      <c r="L123" s="398"/>
      <c r="M123" s="398"/>
      <c r="N123" s="398"/>
      <c r="O123" s="398"/>
    </row>
    <row r="124" spans="1:15" ht="12">
      <c r="A124" s="333"/>
      <c r="B124" t="s">
        <v>532</v>
      </c>
      <c r="C124" s="334"/>
      <c r="D124" s="10" t="s">
        <v>500</v>
      </c>
      <c r="E124">
        <v>0.04</v>
      </c>
      <c r="H124" s="335">
        <v>0</v>
      </c>
      <c r="J124" s="398" t="s">
        <v>639</v>
      </c>
      <c r="K124" s="398"/>
      <c r="L124" s="398"/>
      <c r="M124" s="398"/>
      <c r="N124" s="398"/>
      <c r="O124" s="398"/>
    </row>
    <row r="125" spans="1:15" ht="12">
      <c r="A125" s="333"/>
      <c r="B125" t="s">
        <v>640</v>
      </c>
      <c r="C125" s="334"/>
      <c r="D125" s="10" t="s">
        <v>500</v>
      </c>
      <c r="E125">
        <v>0.003</v>
      </c>
      <c r="H125" s="335">
        <v>0</v>
      </c>
      <c r="J125" s="398" t="s">
        <v>641</v>
      </c>
      <c r="K125" s="398"/>
      <c r="L125" s="398"/>
      <c r="M125" s="398"/>
      <c r="N125" s="398"/>
      <c r="O125" s="398"/>
    </row>
    <row r="126" spans="1:16" ht="12">
      <c r="A126" s="333"/>
      <c r="B126" t="s">
        <v>642</v>
      </c>
      <c r="C126" s="334"/>
      <c r="D126" s="10" t="s">
        <v>500</v>
      </c>
      <c r="E126">
        <v>0.014</v>
      </c>
      <c r="H126" s="335"/>
      <c r="J126" s="398" t="s">
        <v>643</v>
      </c>
      <c r="K126" s="398"/>
      <c r="L126" s="398"/>
      <c r="M126" s="398"/>
      <c r="N126" s="398"/>
      <c r="O126" s="398"/>
      <c r="P126" s="398"/>
    </row>
    <row r="127" spans="1:16" ht="12">
      <c r="A127" s="341"/>
      <c r="B127" s="343" t="s">
        <v>644</v>
      </c>
      <c r="C127" s="342"/>
      <c r="D127" s="344" t="s">
        <v>500</v>
      </c>
      <c r="E127" s="343">
        <v>0.007</v>
      </c>
      <c r="F127" s="343"/>
      <c r="G127" s="343"/>
      <c r="H127" s="345">
        <v>0</v>
      </c>
      <c r="J127" s="398" t="s">
        <v>537</v>
      </c>
      <c r="K127" s="398"/>
      <c r="L127" s="398"/>
      <c r="M127" s="398"/>
      <c r="N127" s="398"/>
      <c r="O127" s="398"/>
      <c r="P127" s="398"/>
    </row>
    <row r="128" spans="1:8" ht="12">
      <c r="A128" s="348" t="s">
        <v>405</v>
      </c>
      <c r="B128" s="154"/>
      <c r="C128" s="154"/>
      <c r="D128" s="349"/>
      <c r="E128" s="154"/>
      <c r="F128" s="154"/>
      <c r="G128" s="154"/>
      <c r="H128" s="350">
        <v>0</v>
      </c>
    </row>
    <row r="129" ht="12">
      <c r="D129" s="10"/>
    </row>
    <row r="130" ht="12">
      <c r="D130" s="10"/>
    </row>
    <row r="131" spans="1:4" ht="12">
      <c r="A131" s="1" t="s">
        <v>538</v>
      </c>
      <c r="D131" s="10"/>
    </row>
    <row r="132" ht="12">
      <c r="D132" s="10"/>
    </row>
    <row r="133" spans="1:4" ht="12">
      <c r="A133" s="402" t="s">
        <v>539</v>
      </c>
      <c r="B133" s="402"/>
      <c r="D133" s="10"/>
    </row>
    <row r="134" spans="1:18" ht="12">
      <c r="A134" s="355" t="s">
        <v>540</v>
      </c>
      <c r="B134" s="356"/>
      <c r="C134" s="403" t="s">
        <v>541</v>
      </c>
      <c r="D134" s="404"/>
      <c r="E134" s="404"/>
      <c r="F134" s="404"/>
      <c r="G134" s="404"/>
      <c r="H134" s="371"/>
      <c r="I134" s="134"/>
      <c r="J134" s="134"/>
      <c r="K134" s="134"/>
      <c r="L134" s="134"/>
      <c r="M134" s="134"/>
      <c r="N134" s="134"/>
      <c r="O134" s="134"/>
      <c r="P134" s="134"/>
      <c r="Q134" s="134"/>
      <c r="R134" s="134"/>
    </row>
    <row r="135" spans="1:18" ht="12">
      <c r="A135" s="363"/>
      <c r="B135" s="364"/>
      <c r="C135" s="365" t="s">
        <v>542</v>
      </c>
      <c r="D135" s="366" t="s">
        <v>543</v>
      </c>
      <c r="E135" s="366" t="s">
        <v>544</v>
      </c>
      <c r="F135" s="366" t="s">
        <v>545</v>
      </c>
      <c r="G135" s="366" t="s">
        <v>546</v>
      </c>
      <c r="H135" s="368" t="s">
        <v>547</v>
      </c>
      <c r="I135" s="134"/>
      <c r="J135" s="134"/>
      <c r="K135" s="134"/>
      <c r="L135" s="134"/>
      <c r="M135" s="134"/>
      <c r="N135" s="134"/>
      <c r="O135" s="134"/>
      <c r="P135" s="134"/>
      <c r="Q135" s="134"/>
      <c r="R135" s="134"/>
    </row>
    <row r="136" spans="1:17" ht="12">
      <c r="A136" s="336" t="s">
        <v>548</v>
      </c>
      <c r="B136" s="261" t="s">
        <v>549</v>
      </c>
      <c r="C136" s="10" t="s">
        <v>550</v>
      </c>
      <c r="D136" s="10"/>
      <c r="E136" s="10"/>
      <c r="F136" s="10"/>
      <c r="G136" s="10"/>
      <c r="H136" s="108"/>
      <c r="J136" s="398" t="s">
        <v>551</v>
      </c>
      <c r="K136" s="398"/>
      <c r="L136" s="398"/>
      <c r="M136" s="398"/>
      <c r="N136" s="398"/>
      <c r="O136" s="398"/>
      <c r="P136" s="398"/>
      <c r="Q136" s="398"/>
    </row>
    <row r="137" spans="1:17" ht="12">
      <c r="A137" s="333" t="s">
        <v>552</v>
      </c>
      <c r="B137" s="263" t="s">
        <v>553</v>
      </c>
      <c r="C137" s="10" t="s">
        <v>550</v>
      </c>
      <c r="D137" s="10"/>
      <c r="E137" s="10"/>
      <c r="F137" s="10"/>
      <c r="G137" s="10"/>
      <c r="H137" s="108"/>
      <c r="J137" s="398" t="s">
        <v>554</v>
      </c>
      <c r="K137" s="398"/>
      <c r="L137" s="398"/>
      <c r="M137" s="398"/>
      <c r="N137" s="398"/>
      <c r="O137" s="398"/>
      <c r="P137" s="398"/>
      <c r="Q137" s="398"/>
    </row>
    <row r="138" spans="1:10" ht="12">
      <c r="A138" s="333"/>
      <c r="B138" s="263" t="s">
        <v>555</v>
      </c>
      <c r="C138" s="10" t="s">
        <v>550</v>
      </c>
      <c r="D138" s="10"/>
      <c r="E138" s="10"/>
      <c r="F138" s="10"/>
      <c r="G138" s="10"/>
      <c r="H138" s="108"/>
      <c r="J138" s="134" t="s">
        <v>556</v>
      </c>
    </row>
    <row r="139" spans="1:17" ht="12">
      <c r="A139" s="333"/>
      <c r="B139" s="263" t="s">
        <v>557</v>
      </c>
      <c r="C139" s="10" t="s">
        <v>550</v>
      </c>
      <c r="D139" s="10"/>
      <c r="E139" s="10"/>
      <c r="F139" s="10"/>
      <c r="G139" s="10"/>
      <c r="H139" s="108"/>
      <c r="J139" s="398" t="s">
        <v>558</v>
      </c>
      <c r="K139" s="398"/>
      <c r="L139" s="398"/>
      <c r="M139" s="398"/>
      <c r="N139" s="398"/>
      <c r="O139" s="398"/>
      <c r="P139" s="398"/>
      <c r="Q139" s="398"/>
    </row>
    <row r="140" spans="1:15" ht="12">
      <c r="A140" s="333"/>
      <c r="B140" s="263" t="s">
        <v>559</v>
      </c>
      <c r="C140" s="10" t="s">
        <v>550</v>
      </c>
      <c r="D140" s="10" t="s">
        <v>550</v>
      </c>
      <c r="E140" s="10"/>
      <c r="F140" s="10"/>
      <c r="G140" s="10"/>
      <c r="H140" s="108"/>
      <c r="J140" s="398" t="s">
        <v>560</v>
      </c>
      <c r="K140" s="398"/>
      <c r="L140" s="398"/>
      <c r="M140" s="398"/>
      <c r="N140" s="398"/>
      <c r="O140" s="398"/>
    </row>
    <row r="141" spans="1:17" ht="12">
      <c r="A141" s="333" t="s">
        <v>561</v>
      </c>
      <c r="B141" s="263" t="s">
        <v>562</v>
      </c>
      <c r="C141" s="10" t="s">
        <v>550</v>
      </c>
      <c r="D141" s="10" t="s">
        <v>550</v>
      </c>
      <c r="E141" s="10"/>
      <c r="F141" s="10"/>
      <c r="G141" s="10"/>
      <c r="H141" s="108"/>
      <c r="J141" s="398" t="s">
        <v>563</v>
      </c>
      <c r="K141" s="398"/>
      <c r="L141" s="398"/>
      <c r="M141" s="398"/>
      <c r="N141" s="398"/>
      <c r="O141" s="398"/>
      <c r="P141" s="398"/>
      <c r="Q141" s="398"/>
    </row>
    <row r="142" spans="1:17" ht="12">
      <c r="A142" s="333" t="s">
        <v>564</v>
      </c>
      <c r="B142" s="263" t="s">
        <v>565</v>
      </c>
      <c r="C142" s="10"/>
      <c r="D142" s="10"/>
      <c r="E142" s="10" t="s">
        <v>550</v>
      </c>
      <c r="F142" s="10"/>
      <c r="G142" s="10"/>
      <c r="H142" s="108"/>
      <c r="J142" s="398" t="s">
        <v>566</v>
      </c>
      <c r="K142" s="398"/>
      <c r="L142" s="398"/>
      <c r="M142" s="398"/>
      <c r="N142" s="398"/>
      <c r="O142" s="398"/>
      <c r="P142" s="398"/>
      <c r="Q142" s="398"/>
    </row>
    <row r="143" spans="1:16" ht="12">
      <c r="A143" s="333"/>
      <c r="B143" s="263" t="s">
        <v>653</v>
      </c>
      <c r="C143" s="10"/>
      <c r="D143" s="10"/>
      <c r="E143" s="10" t="s">
        <v>550</v>
      </c>
      <c r="F143" s="10"/>
      <c r="G143" s="10"/>
      <c r="H143" s="108"/>
      <c r="J143" s="398" t="s">
        <v>654</v>
      </c>
      <c r="K143" s="398"/>
      <c r="L143" s="398"/>
      <c r="M143" s="398"/>
      <c r="N143" s="398"/>
      <c r="O143" s="398"/>
      <c r="P143" s="398"/>
    </row>
    <row r="144" spans="1:17" ht="12">
      <c r="A144" s="333"/>
      <c r="B144" s="263" t="s">
        <v>655</v>
      </c>
      <c r="C144" s="10"/>
      <c r="D144" s="10"/>
      <c r="E144" s="10" t="s">
        <v>550</v>
      </c>
      <c r="F144" s="10"/>
      <c r="G144" s="10"/>
      <c r="H144" s="108"/>
      <c r="J144" s="398" t="s">
        <v>656</v>
      </c>
      <c r="K144" s="398"/>
      <c r="L144" s="398"/>
      <c r="M144" s="398"/>
      <c r="N144" s="398"/>
      <c r="O144" s="398"/>
      <c r="P144" s="398"/>
      <c r="Q144" s="398"/>
    </row>
    <row r="145" spans="1:17" ht="12">
      <c r="A145" s="333"/>
      <c r="B145" s="263" t="s">
        <v>657</v>
      </c>
      <c r="C145" s="10" t="s">
        <v>550</v>
      </c>
      <c r="D145" s="10" t="s">
        <v>550</v>
      </c>
      <c r="E145" s="10"/>
      <c r="F145" s="10"/>
      <c r="G145" s="10"/>
      <c r="H145" s="108"/>
      <c r="J145" s="398" t="s">
        <v>569</v>
      </c>
      <c r="K145" s="398"/>
      <c r="L145" s="398"/>
      <c r="M145" s="398"/>
      <c r="N145" s="398"/>
      <c r="O145" s="398"/>
      <c r="P145" s="398"/>
      <c r="Q145" s="398"/>
    </row>
    <row r="146" spans="1:8" ht="12">
      <c r="A146" s="333"/>
      <c r="B146" s="263" t="s">
        <v>570</v>
      </c>
      <c r="C146" s="10"/>
      <c r="D146" s="10"/>
      <c r="E146" s="10" t="s">
        <v>550</v>
      </c>
      <c r="F146" s="10"/>
      <c r="G146" s="10"/>
      <c r="H146" s="108"/>
    </row>
    <row r="147" spans="1:8" ht="12">
      <c r="A147" s="333"/>
      <c r="B147" s="263" t="s">
        <v>571</v>
      </c>
      <c r="C147" s="10"/>
      <c r="D147" s="10" t="s">
        <v>550</v>
      </c>
      <c r="E147" s="10"/>
      <c r="F147" s="10"/>
      <c r="G147" s="10"/>
      <c r="H147" s="108"/>
    </row>
    <row r="148" spans="1:8" ht="12">
      <c r="A148" s="333" t="s">
        <v>572</v>
      </c>
      <c r="B148" s="263" t="s">
        <v>573</v>
      </c>
      <c r="C148" s="10" t="s">
        <v>550</v>
      </c>
      <c r="D148" s="10" t="s">
        <v>550</v>
      </c>
      <c r="E148" s="10"/>
      <c r="F148" s="10"/>
      <c r="G148" s="10"/>
      <c r="H148" s="108"/>
    </row>
    <row r="149" spans="1:8" ht="12">
      <c r="A149" s="333" t="s">
        <v>574</v>
      </c>
      <c r="B149" s="263" t="s">
        <v>575</v>
      </c>
      <c r="C149" s="10" t="s">
        <v>550</v>
      </c>
      <c r="D149" s="10"/>
      <c r="E149" s="10"/>
      <c r="F149" s="10" t="s">
        <v>550</v>
      </c>
      <c r="G149" s="10"/>
      <c r="H149" s="108"/>
    </row>
    <row r="150" spans="1:8" ht="12">
      <c r="A150" s="333"/>
      <c r="B150" s="263" t="s">
        <v>576</v>
      </c>
      <c r="C150" s="10"/>
      <c r="D150" s="10"/>
      <c r="E150" s="10"/>
      <c r="F150" s="10"/>
      <c r="G150" s="10" t="s">
        <v>550</v>
      </c>
      <c r="H150" s="108" t="s">
        <v>550</v>
      </c>
    </row>
    <row r="151" spans="1:8" ht="12">
      <c r="A151" s="333"/>
      <c r="B151" s="263" t="s">
        <v>577</v>
      </c>
      <c r="C151" s="10" t="s">
        <v>550</v>
      </c>
      <c r="D151" s="10"/>
      <c r="E151" s="10"/>
      <c r="F151" s="10"/>
      <c r="G151" s="10"/>
      <c r="H151" s="108"/>
    </row>
    <row r="152" spans="1:8" ht="12">
      <c r="A152" s="333" t="s">
        <v>578</v>
      </c>
      <c r="B152" s="263" t="s">
        <v>579</v>
      </c>
      <c r="C152" s="10"/>
      <c r="D152" s="10" t="s">
        <v>550</v>
      </c>
      <c r="E152" s="10"/>
      <c r="F152" s="10"/>
      <c r="G152" s="10"/>
      <c r="H152" s="108"/>
    </row>
    <row r="153" spans="1:8" ht="12">
      <c r="A153" s="333" t="s">
        <v>564</v>
      </c>
      <c r="B153" s="263" t="s">
        <v>580</v>
      </c>
      <c r="C153" s="10" t="s">
        <v>550</v>
      </c>
      <c r="D153" s="10"/>
      <c r="E153" s="10"/>
      <c r="F153" s="10"/>
      <c r="G153" s="10"/>
      <c r="H153" s="108"/>
    </row>
    <row r="154" spans="1:8" ht="12">
      <c r="A154" s="333"/>
      <c r="B154" s="263" t="s">
        <v>581</v>
      </c>
      <c r="C154" s="10" t="s">
        <v>550</v>
      </c>
      <c r="D154" s="10" t="s">
        <v>550</v>
      </c>
      <c r="E154" s="10"/>
      <c r="F154" s="10"/>
      <c r="G154" s="10"/>
      <c r="H154" s="108"/>
    </row>
    <row r="155" spans="1:8" ht="12">
      <c r="A155" s="333"/>
      <c r="B155" s="263" t="s">
        <v>582</v>
      </c>
      <c r="C155" s="10" t="s">
        <v>550</v>
      </c>
      <c r="D155" s="10" t="s">
        <v>550</v>
      </c>
      <c r="E155" s="10"/>
      <c r="F155" s="10"/>
      <c r="G155" s="10"/>
      <c r="H155" s="108"/>
    </row>
    <row r="156" spans="1:8" ht="12">
      <c r="A156" s="333"/>
      <c r="B156" s="263" t="s">
        <v>583</v>
      </c>
      <c r="C156" s="10" t="s">
        <v>550</v>
      </c>
      <c r="D156" s="10" t="s">
        <v>550</v>
      </c>
      <c r="E156" s="10"/>
      <c r="F156" s="10"/>
      <c r="G156" s="10"/>
      <c r="H156" s="108"/>
    </row>
    <row r="157" spans="1:8" ht="12">
      <c r="A157" s="333" t="s">
        <v>584</v>
      </c>
      <c r="B157" s="263" t="s">
        <v>585</v>
      </c>
      <c r="C157" s="10"/>
      <c r="D157" s="10"/>
      <c r="E157" s="10"/>
      <c r="F157" s="10" t="s">
        <v>550</v>
      </c>
      <c r="G157" s="10"/>
      <c r="H157" s="108" t="s">
        <v>550</v>
      </c>
    </row>
    <row r="158" spans="1:8" ht="12">
      <c r="A158" s="333"/>
      <c r="B158" s="263" t="s">
        <v>586</v>
      </c>
      <c r="C158" s="10"/>
      <c r="D158" s="10"/>
      <c r="E158" s="10"/>
      <c r="F158" s="10" t="s">
        <v>550</v>
      </c>
      <c r="G158" s="10" t="s">
        <v>550</v>
      </c>
      <c r="H158" s="108" t="s">
        <v>550</v>
      </c>
    </row>
    <row r="159" spans="1:8" ht="12">
      <c r="A159" s="341"/>
      <c r="B159" s="265" t="s">
        <v>587</v>
      </c>
      <c r="C159" s="344" t="s">
        <v>550</v>
      </c>
      <c r="D159" s="344" t="s">
        <v>550</v>
      </c>
      <c r="E159" s="344"/>
      <c r="F159" s="344"/>
      <c r="G159" s="344"/>
      <c r="H159" s="367"/>
    </row>
    <row r="160" ht="12">
      <c r="D160" s="10"/>
    </row>
    <row r="161" spans="1:4" ht="12">
      <c r="A161" s="402" t="s">
        <v>588</v>
      </c>
      <c r="B161" s="402"/>
      <c r="D161" s="10"/>
    </row>
    <row r="162" spans="1:18" ht="60">
      <c r="A162" s="329" t="s">
        <v>541</v>
      </c>
      <c r="B162" s="330" t="s">
        <v>589</v>
      </c>
      <c r="C162" s="155"/>
      <c r="D162" s="331"/>
      <c r="E162" s="331" t="s">
        <v>590</v>
      </c>
      <c r="F162" s="155"/>
      <c r="G162" s="155"/>
      <c r="H162" s="332" t="s">
        <v>591</v>
      </c>
      <c r="I162" s="134"/>
      <c r="J162" s="134"/>
      <c r="K162" s="134"/>
      <c r="L162" s="134"/>
      <c r="M162" s="134"/>
      <c r="N162" s="134"/>
      <c r="O162" s="134"/>
      <c r="P162" s="134"/>
      <c r="Q162" s="134"/>
      <c r="R162" s="134"/>
    </row>
    <row r="163" spans="1:17" ht="12">
      <c r="A163" s="333" t="s">
        <v>597</v>
      </c>
      <c r="B163" s="334"/>
      <c r="D163" s="10" t="s">
        <v>500</v>
      </c>
      <c r="E163" s="369">
        <v>1000</v>
      </c>
      <c r="G163" s="134"/>
      <c r="H163" s="335">
        <v>0</v>
      </c>
      <c r="J163" s="398" t="s">
        <v>598</v>
      </c>
      <c r="K163" s="398"/>
      <c r="L163" s="398"/>
      <c r="M163" s="398"/>
      <c r="N163" s="398"/>
      <c r="O163" s="398"/>
      <c r="P163" s="398"/>
      <c r="Q163" s="398"/>
    </row>
    <row r="164" spans="1:17" ht="12">
      <c r="A164" s="333" t="s">
        <v>424</v>
      </c>
      <c r="B164" s="334"/>
      <c r="D164" s="10" t="s">
        <v>500</v>
      </c>
      <c r="E164" s="369">
        <v>21000</v>
      </c>
      <c r="G164" s="134"/>
      <c r="H164" s="335">
        <v>0</v>
      </c>
      <c r="J164" s="398" t="s">
        <v>599</v>
      </c>
      <c r="K164" s="398"/>
      <c r="L164" s="398"/>
      <c r="M164" s="398"/>
      <c r="N164" s="398"/>
      <c r="O164" s="398"/>
      <c r="P164" s="398"/>
      <c r="Q164" s="398"/>
    </row>
    <row r="165" spans="1:17" ht="12">
      <c r="A165" s="333" t="s">
        <v>600</v>
      </c>
      <c r="B165" s="334"/>
      <c r="D165" s="10" t="s">
        <v>500</v>
      </c>
      <c r="E165" s="369">
        <v>310000</v>
      </c>
      <c r="H165" s="335">
        <v>0</v>
      </c>
      <c r="J165" s="398" t="s">
        <v>601</v>
      </c>
      <c r="K165" s="398"/>
      <c r="L165" s="398"/>
      <c r="M165" s="398"/>
      <c r="N165" s="398"/>
      <c r="O165" s="398"/>
      <c r="P165" s="398"/>
      <c r="Q165" s="398"/>
    </row>
    <row r="166" spans="1:17" ht="12">
      <c r="A166" s="333" t="s">
        <v>602</v>
      </c>
      <c r="B166" s="334"/>
      <c r="D166" s="10" t="s">
        <v>500</v>
      </c>
      <c r="E166" s="369">
        <v>2800000</v>
      </c>
      <c r="H166" s="335">
        <v>0</v>
      </c>
      <c r="J166" s="398" t="s">
        <v>603</v>
      </c>
      <c r="K166" s="398"/>
      <c r="L166" s="398"/>
      <c r="M166" s="398"/>
      <c r="N166" s="398"/>
      <c r="O166" s="398"/>
      <c r="P166" s="398"/>
      <c r="Q166" s="398"/>
    </row>
    <row r="167" spans="1:17" ht="12">
      <c r="A167" s="333" t="s">
        <v>604</v>
      </c>
      <c r="B167" s="334"/>
      <c r="D167" s="10" t="s">
        <v>500</v>
      </c>
      <c r="E167" s="369">
        <v>1000000</v>
      </c>
      <c r="H167" s="335">
        <v>0</v>
      </c>
      <c r="J167" s="398" t="s">
        <v>605</v>
      </c>
      <c r="K167" s="398"/>
      <c r="L167" s="398"/>
      <c r="M167" s="398"/>
      <c r="N167" s="398"/>
      <c r="O167" s="398"/>
      <c r="P167" s="398"/>
      <c r="Q167" s="398"/>
    </row>
    <row r="168" spans="1:17" ht="12">
      <c r="A168" s="333" t="s">
        <v>606</v>
      </c>
      <c r="B168" s="334"/>
      <c r="D168" s="10" t="s">
        <v>500</v>
      </c>
      <c r="E168" s="369">
        <v>1300000</v>
      </c>
      <c r="H168" s="335">
        <v>0</v>
      </c>
      <c r="J168" s="398" t="s">
        <v>607</v>
      </c>
      <c r="K168" s="398"/>
      <c r="L168" s="398"/>
      <c r="M168" s="398"/>
      <c r="N168" s="398"/>
      <c r="O168" s="398"/>
      <c r="P168" s="398"/>
      <c r="Q168" s="398"/>
    </row>
    <row r="169" spans="1:17" ht="12">
      <c r="A169" s="333" t="s">
        <v>608</v>
      </c>
      <c r="B169" s="334"/>
      <c r="D169" s="10" t="s">
        <v>500</v>
      </c>
      <c r="E169" s="369">
        <v>300000</v>
      </c>
      <c r="H169" s="335">
        <v>0</v>
      </c>
      <c r="J169" s="398" t="s">
        <v>609</v>
      </c>
      <c r="K169" s="398"/>
      <c r="L169" s="398"/>
      <c r="M169" s="398"/>
      <c r="N169" s="398"/>
      <c r="O169" s="398"/>
      <c r="P169" s="398"/>
      <c r="Q169" s="398"/>
    </row>
    <row r="170" spans="1:17" ht="12">
      <c r="A170" s="333" t="s">
        <v>610</v>
      </c>
      <c r="B170" s="334"/>
      <c r="D170" s="10" t="s">
        <v>500</v>
      </c>
      <c r="E170" s="369">
        <v>3800000</v>
      </c>
      <c r="H170" s="335">
        <v>0</v>
      </c>
      <c r="J170" s="398" t="s">
        <v>611</v>
      </c>
      <c r="K170" s="398"/>
      <c r="L170" s="398"/>
      <c r="M170" s="398"/>
      <c r="N170" s="398"/>
      <c r="O170" s="398"/>
      <c r="P170" s="398"/>
      <c r="Q170" s="398"/>
    </row>
    <row r="171" spans="1:17" ht="12">
      <c r="A171" s="333" t="s">
        <v>612</v>
      </c>
      <c r="B171" s="334"/>
      <c r="D171" s="10" t="s">
        <v>500</v>
      </c>
      <c r="E171" s="369">
        <v>140000</v>
      </c>
      <c r="H171" s="335">
        <v>0</v>
      </c>
      <c r="J171" s="398" t="s">
        <v>613</v>
      </c>
      <c r="K171" s="398"/>
      <c r="L171" s="398"/>
      <c r="M171" s="398"/>
      <c r="N171" s="398"/>
      <c r="O171" s="398"/>
      <c r="P171" s="398"/>
      <c r="Q171" s="398"/>
    </row>
    <row r="172" spans="1:10" ht="12">
      <c r="A172" s="333" t="s">
        <v>614</v>
      </c>
      <c r="B172" s="334"/>
      <c r="D172" s="10" t="s">
        <v>500</v>
      </c>
      <c r="E172" s="369">
        <v>2900000</v>
      </c>
      <c r="H172" s="335">
        <v>0</v>
      </c>
      <c r="J172" s="134" t="s">
        <v>615</v>
      </c>
    </row>
    <row r="173" spans="1:17" ht="12">
      <c r="A173" s="333" t="s">
        <v>616</v>
      </c>
      <c r="B173" s="334"/>
      <c r="D173" s="10" t="s">
        <v>500</v>
      </c>
      <c r="E173" s="369">
        <v>11700000</v>
      </c>
      <c r="H173" s="335">
        <v>0</v>
      </c>
      <c r="J173" s="398" t="s">
        <v>619</v>
      </c>
      <c r="K173" s="398"/>
      <c r="L173" s="398"/>
      <c r="M173" s="398"/>
      <c r="N173" s="398"/>
      <c r="O173" s="398"/>
      <c r="P173" s="398"/>
      <c r="Q173" s="398"/>
    </row>
    <row r="174" spans="1:17" ht="12">
      <c r="A174" s="333" t="s">
        <v>620</v>
      </c>
      <c r="B174" s="334"/>
      <c r="D174" s="10" t="s">
        <v>500</v>
      </c>
      <c r="E174" s="369">
        <v>6300000</v>
      </c>
      <c r="H174" s="335">
        <v>0</v>
      </c>
      <c r="J174" s="398" t="s">
        <v>621</v>
      </c>
      <c r="K174" s="398"/>
      <c r="L174" s="398"/>
      <c r="M174" s="398"/>
      <c r="N174" s="398"/>
      <c r="O174" s="398"/>
      <c r="P174" s="398"/>
      <c r="Q174" s="398"/>
    </row>
    <row r="175" spans="1:17" ht="12">
      <c r="A175" s="333" t="s">
        <v>622</v>
      </c>
      <c r="B175" s="334"/>
      <c r="D175" s="10" t="s">
        <v>500</v>
      </c>
      <c r="E175" s="369">
        <v>560000</v>
      </c>
      <c r="H175" s="335">
        <v>0</v>
      </c>
      <c r="J175" s="398" t="s">
        <v>623</v>
      </c>
      <c r="K175" s="398"/>
      <c r="L175" s="398"/>
      <c r="M175" s="398"/>
      <c r="N175" s="398"/>
      <c r="O175" s="398"/>
      <c r="P175" s="398"/>
      <c r="Q175" s="398"/>
    </row>
    <row r="176" spans="1:17" ht="12">
      <c r="A176" s="333" t="s">
        <v>624</v>
      </c>
      <c r="B176" s="334"/>
      <c r="D176" s="10" t="s">
        <v>500</v>
      </c>
      <c r="E176" s="369">
        <v>650000</v>
      </c>
      <c r="H176" s="335">
        <v>0</v>
      </c>
      <c r="J176" s="398" t="s">
        <v>625</v>
      </c>
      <c r="K176" s="398"/>
      <c r="L176" s="398"/>
      <c r="M176" s="398"/>
      <c r="N176" s="398"/>
      <c r="O176" s="398"/>
      <c r="P176" s="398"/>
      <c r="Q176" s="398"/>
    </row>
    <row r="177" spans="1:12" ht="12">
      <c r="A177" s="333" t="s">
        <v>626</v>
      </c>
      <c r="B177" s="334"/>
      <c r="D177" s="10" t="s">
        <v>500</v>
      </c>
      <c r="E177" s="369">
        <v>150000</v>
      </c>
      <c r="H177" s="335">
        <v>0</v>
      </c>
      <c r="J177" s="398" t="s">
        <v>627</v>
      </c>
      <c r="K177" s="398"/>
      <c r="L177" s="398"/>
    </row>
    <row r="178" spans="1:8" ht="12">
      <c r="A178" s="333" t="s">
        <v>628</v>
      </c>
      <c r="B178" s="334"/>
      <c r="D178" s="10" t="s">
        <v>500</v>
      </c>
      <c r="E178" s="369">
        <v>1300000</v>
      </c>
      <c r="H178" s="335">
        <v>0</v>
      </c>
    </row>
    <row r="179" spans="1:8" ht="12">
      <c r="A179" s="333" t="s">
        <v>629</v>
      </c>
      <c r="B179" s="334"/>
      <c r="D179" s="10" t="s">
        <v>500</v>
      </c>
      <c r="E179" s="369">
        <v>7000000</v>
      </c>
      <c r="H179" s="335">
        <v>0</v>
      </c>
    </row>
    <row r="180" spans="1:8" ht="12">
      <c r="A180" s="333" t="s">
        <v>630</v>
      </c>
      <c r="B180" s="334"/>
      <c r="D180" s="10" t="s">
        <v>500</v>
      </c>
      <c r="E180" s="369">
        <v>6500000</v>
      </c>
      <c r="F180" t="s">
        <v>631</v>
      </c>
      <c r="H180" s="335">
        <v>0</v>
      </c>
    </row>
    <row r="181" spans="1:8" ht="12">
      <c r="A181" s="333" t="s">
        <v>632</v>
      </c>
      <c r="B181" s="334"/>
      <c r="D181" s="10" t="s">
        <v>500</v>
      </c>
      <c r="E181" s="369">
        <v>7000000</v>
      </c>
      <c r="H181" s="335">
        <v>0</v>
      </c>
    </row>
    <row r="182" spans="1:8" ht="12">
      <c r="A182" s="333" t="s">
        <v>633</v>
      </c>
      <c r="B182" s="334"/>
      <c r="D182" s="10" t="s">
        <v>500</v>
      </c>
      <c r="E182" s="369">
        <v>7500000</v>
      </c>
      <c r="H182" s="335">
        <v>0</v>
      </c>
    </row>
    <row r="183" spans="1:8" ht="12">
      <c r="A183" s="333" t="s">
        <v>634</v>
      </c>
      <c r="B183" s="334"/>
      <c r="D183" s="10" t="s">
        <v>500</v>
      </c>
      <c r="E183" s="369">
        <v>8700000</v>
      </c>
      <c r="H183" s="335">
        <v>0</v>
      </c>
    </row>
    <row r="184" spans="1:8" ht="12">
      <c r="A184" s="333" t="s">
        <v>635</v>
      </c>
      <c r="B184" s="334"/>
      <c r="D184" s="10" t="s">
        <v>500</v>
      </c>
      <c r="E184" s="369">
        <v>9200000</v>
      </c>
      <c r="H184" s="335">
        <v>0</v>
      </c>
    </row>
    <row r="185" spans="1:8" ht="12">
      <c r="A185" s="333" t="s">
        <v>636</v>
      </c>
      <c r="B185" s="334"/>
      <c r="D185" s="10" t="s">
        <v>500</v>
      </c>
      <c r="E185" s="369">
        <v>7400000</v>
      </c>
      <c r="H185" s="335">
        <v>0</v>
      </c>
    </row>
    <row r="186" spans="1:8" ht="12">
      <c r="A186" s="341" t="s">
        <v>546</v>
      </c>
      <c r="B186" s="342"/>
      <c r="C186" s="343"/>
      <c r="D186" s="344" t="s">
        <v>500</v>
      </c>
      <c r="E186" s="370">
        <v>23900000</v>
      </c>
      <c r="F186" s="343"/>
      <c r="G186" s="343"/>
      <c r="H186" s="345">
        <v>0</v>
      </c>
    </row>
    <row r="187" spans="1:8" ht="12">
      <c r="A187" s="348" t="s">
        <v>405</v>
      </c>
      <c r="B187" s="154"/>
      <c r="C187" s="154"/>
      <c r="D187" s="349"/>
      <c r="E187" s="154"/>
      <c r="F187" s="154"/>
      <c r="G187" s="154"/>
      <c r="H187" s="350">
        <v>0</v>
      </c>
    </row>
    <row r="188" ht="12">
      <c r="D188" s="10"/>
    </row>
  </sheetData>
  <mergeCells count="101">
    <mergeCell ref="H6:I6"/>
    <mergeCell ref="A1:I1"/>
    <mergeCell ref="A2:I2"/>
    <mergeCell ref="A4:I4"/>
    <mergeCell ref="A7:B7"/>
    <mergeCell ref="A10:B10"/>
    <mergeCell ref="A13:B13"/>
    <mergeCell ref="A14:B14"/>
    <mergeCell ref="J17:Q17"/>
    <mergeCell ref="J18:P18"/>
    <mergeCell ref="J19:Q19"/>
    <mergeCell ref="J20:Q20"/>
    <mergeCell ref="J21:R21"/>
    <mergeCell ref="J22:K22"/>
    <mergeCell ref="J23:Q23"/>
    <mergeCell ref="J24:Q24"/>
    <mergeCell ref="J26:Q26"/>
    <mergeCell ref="J27:Q27"/>
    <mergeCell ref="J28:Q28"/>
    <mergeCell ref="J30:Q30"/>
    <mergeCell ref="J31:Q31"/>
    <mergeCell ref="J32:Q32"/>
    <mergeCell ref="J33:K33"/>
    <mergeCell ref="A62:E62"/>
    <mergeCell ref="E63:F63"/>
    <mergeCell ref="J64:Q64"/>
    <mergeCell ref="J65:R65"/>
    <mergeCell ref="J66:O66"/>
    <mergeCell ref="E71:F71"/>
    <mergeCell ref="J72:Q72"/>
    <mergeCell ref="J73:Q73"/>
    <mergeCell ref="A70:H70"/>
    <mergeCell ref="J74:Q74"/>
    <mergeCell ref="J75:K75"/>
    <mergeCell ref="E83:F83"/>
    <mergeCell ref="A82:H82"/>
    <mergeCell ref="J84:Q84"/>
    <mergeCell ref="J85:Q85"/>
    <mergeCell ref="J86:Q86"/>
    <mergeCell ref="J87:K87"/>
    <mergeCell ref="C93:D93"/>
    <mergeCell ref="E93:F93"/>
    <mergeCell ref="J94:Q94"/>
    <mergeCell ref="A92:H92"/>
    <mergeCell ref="J95:Q95"/>
    <mergeCell ref="J96:Q96"/>
    <mergeCell ref="J97:Q97"/>
    <mergeCell ref="J98:Q98"/>
    <mergeCell ref="A109:H109"/>
    <mergeCell ref="J99:O99"/>
    <mergeCell ref="J100:P100"/>
    <mergeCell ref="J101:P101"/>
    <mergeCell ref="J102:N102"/>
    <mergeCell ref="J103:R103"/>
    <mergeCell ref="J104:N104"/>
    <mergeCell ref="J108:L108"/>
    <mergeCell ref="J109:R109"/>
    <mergeCell ref="E110:F110"/>
    <mergeCell ref="J110:R110"/>
    <mergeCell ref="J111:R111"/>
    <mergeCell ref="J112:Q112"/>
    <mergeCell ref="J113:N113"/>
    <mergeCell ref="J114:R114"/>
    <mergeCell ref="J115:R115"/>
    <mergeCell ref="A117:B117"/>
    <mergeCell ref="J118:R118"/>
    <mergeCell ref="J119:O119"/>
    <mergeCell ref="J120:P120"/>
    <mergeCell ref="J121:R121"/>
    <mergeCell ref="J122:O122"/>
    <mergeCell ref="J123:O123"/>
    <mergeCell ref="J124:O124"/>
    <mergeCell ref="J125:O125"/>
    <mergeCell ref="J126:P126"/>
    <mergeCell ref="J127:P127"/>
    <mergeCell ref="A133:B133"/>
    <mergeCell ref="C134:H134"/>
    <mergeCell ref="J136:Q136"/>
    <mergeCell ref="J137:Q137"/>
    <mergeCell ref="J139:Q139"/>
    <mergeCell ref="J140:O140"/>
    <mergeCell ref="J141:Q141"/>
    <mergeCell ref="J142:Q142"/>
    <mergeCell ref="J143:P143"/>
    <mergeCell ref="J144:Q144"/>
    <mergeCell ref="J145:Q145"/>
    <mergeCell ref="A161:B161"/>
    <mergeCell ref="J163:Q163"/>
    <mergeCell ref="J164:Q164"/>
    <mergeCell ref="J165:Q165"/>
    <mergeCell ref="J166:Q166"/>
    <mergeCell ref="J167:Q167"/>
    <mergeCell ref="J168:Q168"/>
    <mergeCell ref="J169:Q169"/>
    <mergeCell ref="J170:Q170"/>
    <mergeCell ref="J171:Q171"/>
    <mergeCell ref="J173:Q173"/>
    <mergeCell ref="J174:Q174"/>
    <mergeCell ref="J175:Q175"/>
    <mergeCell ref="J176:Q176"/>
    <mergeCell ref="J177:L17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Sony Customer</dc:creator>
  <cp:keywords/>
  <dc:description/>
  <cp:lastModifiedBy>cricket sahara</cp:lastModifiedBy>
  <cp:lastPrinted>2006-07-07T17:32:03Z</cp:lastPrinted>
  <dcterms:created xsi:type="dcterms:W3CDTF">2003-07-01T16:15:30Z</dcterms:created>
  <dcterms:modified xsi:type="dcterms:W3CDTF">2006-12-19T17:15:40Z</dcterms:modified>
  <cp:category/>
  <cp:version/>
  <cp:contentType/>
  <cp:contentStatus/>
</cp:coreProperties>
</file>